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10" yWindow="-110" windowWidth="23260" windowHeight="11130"/>
  </bookViews>
  <sheets>
    <sheet name="NJPubSchoolDistricts" sheetId="1" r:id="rId1"/>
    <sheet name="Other Important Organizations" sheetId="2" r:id="rId2"/>
  </sheets>
  <calcPr calcId="191029"/>
</workbook>
</file>

<file path=xl/calcChain.xml><?xml version="1.0" encoding="utf-8"?>
<calcChain xmlns="http://schemas.openxmlformats.org/spreadsheetml/2006/main">
  <c r="A5" i="1"/>
  <c r="C5"/>
  <c r="O5"/>
  <c r="U5"/>
  <c r="V5"/>
  <c r="A6"/>
  <c r="C6"/>
  <c r="O6"/>
  <c r="U6"/>
  <c r="AW6"/>
  <c r="A7"/>
  <c r="C7"/>
  <c r="O7"/>
  <c r="U7"/>
  <c r="AW7"/>
  <c r="A8"/>
  <c r="C8"/>
  <c r="E8"/>
  <c r="O8"/>
  <c r="U8"/>
  <c r="AW8"/>
  <c r="A9"/>
  <c r="C9"/>
  <c r="O9"/>
  <c r="U9"/>
  <c r="AW9"/>
  <c r="A10"/>
  <c r="C10"/>
  <c r="O10"/>
  <c r="U10"/>
  <c r="AW10"/>
  <c r="A11"/>
  <c r="C11"/>
  <c r="O11"/>
  <c r="U11"/>
  <c r="AW11"/>
  <c r="A12"/>
  <c r="C12"/>
  <c r="O12"/>
  <c r="U12"/>
  <c r="AW12"/>
  <c r="A13"/>
  <c r="C13"/>
  <c r="E13"/>
  <c r="O13"/>
  <c r="U13"/>
  <c r="AW13"/>
  <c r="A14"/>
  <c r="C14"/>
  <c r="O14"/>
  <c r="U14"/>
  <c r="A15"/>
  <c r="C15"/>
  <c r="O15"/>
  <c r="U15"/>
  <c r="AW15"/>
  <c r="A16"/>
  <c r="C16"/>
  <c r="O16"/>
  <c r="U16"/>
  <c r="AW16"/>
  <c r="A17"/>
  <c r="C17"/>
  <c r="U17"/>
  <c r="V17"/>
  <c r="AW17"/>
  <c r="A18"/>
  <c r="C18"/>
  <c r="O18"/>
  <c r="U18"/>
  <c r="AW18"/>
  <c r="A19"/>
  <c r="C19"/>
  <c r="O19"/>
  <c r="U19"/>
  <c r="AW19"/>
  <c r="A20"/>
  <c r="C20"/>
  <c r="U20"/>
  <c r="V20"/>
  <c r="AW20"/>
  <c r="A21"/>
  <c r="C21"/>
  <c r="O21"/>
  <c r="U21"/>
  <c r="AW21"/>
  <c r="A22"/>
  <c r="C22"/>
  <c r="O22"/>
  <c r="U22"/>
  <c r="AW22"/>
  <c r="A23"/>
  <c r="C23"/>
  <c r="O23"/>
  <c r="U23"/>
  <c r="AW23"/>
  <c r="A24"/>
  <c r="C24"/>
  <c r="O24"/>
  <c r="U24"/>
  <c r="A25"/>
  <c r="C25"/>
  <c r="O25"/>
  <c r="U25"/>
  <c r="AW25"/>
  <c r="A26"/>
  <c r="C26"/>
  <c r="O26"/>
  <c r="U26"/>
  <c r="AW26"/>
  <c r="A27"/>
  <c r="C27"/>
  <c r="O27"/>
  <c r="U27"/>
  <c r="AW27"/>
  <c r="A28"/>
  <c r="C28"/>
  <c r="O28"/>
  <c r="U28"/>
  <c r="AW28"/>
  <c r="A29"/>
  <c r="C29"/>
  <c r="O29"/>
  <c r="U29"/>
  <c r="AW29"/>
  <c r="A30"/>
  <c r="C30"/>
  <c r="O30"/>
  <c r="U30"/>
  <c r="AW30"/>
  <c r="A31"/>
  <c r="C31"/>
  <c r="E31"/>
  <c r="O31"/>
  <c r="U31"/>
  <c r="A32"/>
  <c r="C32"/>
  <c r="U32"/>
  <c r="V32"/>
  <c r="AW32"/>
  <c r="A33"/>
  <c r="C33"/>
  <c r="O33"/>
  <c r="U33"/>
  <c r="AW33"/>
  <c r="A34"/>
  <c r="C34"/>
  <c r="O34"/>
  <c r="U34"/>
  <c r="AW34"/>
  <c r="A35"/>
  <c r="C35"/>
  <c r="O35"/>
  <c r="U35"/>
  <c r="AW35"/>
  <c r="A36"/>
  <c r="C36"/>
  <c r="U36"/>
  <c r="V36"/>
  <c r="AW36"/>
  <c r="A37"/>
  <c r="C37"/>
  <c r="E37"/>
  <c r="O37"/>
  <c r="U37"/>
  <c r="AW37"/>
  <c r="A38"/>
  <c r="C38"/>
  <c r="O38"/>
  <c r="U38"/>
  <c r="AW38"/>
  <c r="A39"/>
  <c r="C39"/>
  <c r="O39"/>
  <c r="U39"/>
  <c r="AW39"/>
  <c r="A40"/>
  <c r="C40"/>
  <c r="O40"/>
  <c r="U40"/>
  <c r="AW40"/>
  <c r="A41"/>
  <c r="C41"/>
  <c r="O41"/>
  <c r="U41"/>
  <c r="AW41"/>
  <c r="A42"/>
  <c r="C42"/>
  <c r="O42"/>
  <c r="U42"/>
  <c r="AW42"/>
  <c r="A43"/>
  <c r="C43"/>
  <c r="O43"/>
  <c r="U43"/>
  <c r="AW43"/>
  <c r="A44"/>
  <c r="C44"/>
  <c r="O44"/>
  <c r="U44"/>
  <c r="AW44"/>
  <c r="A45"/>
  <c r="C45"/>
  <c r="U45"/>
  <c r="V45"/>
  <c r="AW45"/>
  <c r="A46"/>
  <c r="C46"/>
  <c r="O46"/>
  <c r="U46"/>
  <c r="AW46"/>
  <c r="A47"/>
  <c r="C47"/>
  <c r="O47"/>
  <c r="U47"/>
  <c r="AW47"/>
  <c r="A48"/>
  <c r="C48"/>
  <c r="O48"/>
  <c r="U48"/>
  <c r="AW48"/>
  <c r="A49"/>
  <c r="C49"/>
  <c r="O49"/>
  <c r="U49"/>
  <c r="AW49"/>
  <c r="A50"/>
  <c r="C50"/>
  <c r="O50"/>
  <c r="U50"/>
  <c r="AW50"/>
  <c r="A51"/>
  <c r="C51"/>
  <c r="O51"/>
  <c r="U51"/>
  <c r="AW51"/>
  <c r="A52"/>
  <c r="C52"/>
  <c r="O52"/>
  <c r="U52"/>
  <c r="AW52"/>
  <c r="A53"/>
  <c r="C53"/>
  <c r="O53"/>
  <c r="U53"/>
  <c r="AW53"/>
  <c r="A54"/>
  <c r="C54"/>
  <c r="E54"/>
  <c r="O54"/>
  <c r="U54"/>
  <c r="AW54"/>
  <c r="A55"/>
  <c r="C55"/>
  <c r="O55"/>
  <c r="U55"/>
  <c r="AW55"/>
  <c r="A56"/>
  <c r="C56"/>
  <c r="O56"/>
  <c r="U56"/>
  <c r="AW56"/>
  <c r="A57"/>
  <c r="C57"/>
  <c r="O57"/>
  <c r="U57"/>
  <c r="AW57"/>
  <c r="A58"/>
  <c r="C58"/>
  <c r="O58"/>
  <c r="U58"/>
  <c r="AW58"/>
  <c r="A59"/>
  <c r="C59"/>
  <c r="O59"/>
  <c r="U59"/>
  <c r="AW59"/>
  <c r="A60"/>
  <c r="C60"/>
  <c r="O60"/>
  <c r="U60"/>
  <c r="AW60"/>
  <c r="A61"/>
  <c r="C61"/>
  <c r="O61"/>
  <c r="U61"/>
  <c r="AW61"/>
  <c r="A62"/>
  <c r="C62"/>
  <c r="O62"/>
  <c r="U62"/>
  <c r="AW62"/>
  <c r="A63"/>
  <c r="C63"/>
  <c r="O63"/>
  <c r="U63"/>
  <c r="AW63"/>
  <c r="A64"/>
  <c r="C64"/>
  <c r="O64"/>
  <c r="U64"/>
  <c r="AW64"/>
  <c r="A65"/>
  <c r="C65"/>
  <c r="O65"/>
  <c r="U65"/>
  <c r="AW65"/>
  <c r="A66"/>
  <c r="C66"/>
  <c r="O66"/>
  <c r="U66"/>
  <c r="AW66"/>
  <c r="A67"/>
  <c r="C67"/>
  <c r="O67"/>
  <c r="U67"/>
  <c r="AW67"/>
  <c r="A68"/>
  <c r="C68"/>
  <c r="O68"/>
  <c r="U68"/>
  <c r="AW68"/>
  <c r="A69"/>
  <c r="C69"/>
  <c r="O69"/>
  <c r="U69"/>
  <c r="AW69"/>
  <c r="A70"/>
  <c r="C70"/>
  <c r="O70"/>
  <c r="U70"/>
  <c r="AW70"/>
  <c r="A71"/>
  <c r="C71"/>
  <c r="O71"/>
  <c r="U71"/>
  <c r="AW71"/>
  <c r="A72"/>
  <c r="C72"/>
  <c r="O72"/>
  <c r="U72"/>
  <c r="AW72"/>
  <c r="A73"/>
  <c r="C73"/>
  <c r="O73"/>
  <c r="U73"/>
  <c r="AW73"/>
  <c r="A74"/>
  <c r="C74"/>
  <c r="U74"/>
  <c r="V74"/>
  <c r="AW74"/>
  <c r="A75"/>
  <c r="C75"/>
  <c r="O75"/>
  <c r="U75"/>
  <c r="AW75"/>
  <c r="A76"/>
  <c r="C76"/>
  <c r="O76"/>
  <c r="U76"/>
  <c r="AW76"/>
  <c r="A77"/>
  <c r="C77"/>
  <c r="O77"/>
  <c r="U77"/>
  <c r="AW77"/>
  <c r="A78"/>
  <c r="C78"/>
  <c r="O78"/>
  <c r="U78"/>
  <c r="AW78"/>
  <c r="A79"/>
  <c r="C79"/>
  <c r="U79"/>
  <c r="V79"/>
  <c r="AW79"/>
  <c r="A80"/>
  <c r="C80"/>
  <c r="O80"/>
  <c r="U80"/>
  <c r="AW80"/>
  <c r="A81"/>
  <c r="C81"/>
  <c r="O81"/>
  <c r="U81"/>
  <c r="AW81"/>
  <c r="A82"/>
  <c r="C82"/>
  <c r="O82"/>
  <c r="U82"/>
  <c r="AW82"/>
  <c r="A83"/>
  <c r="C83"/>
  <c r="O83"/>
  <c r="U83"/>
  <c r="AW83"/>
  <c r="A84"/>
  <c r="C84"/>
  <c r="O84"/>
  <c r="U84"/>
  <c r="AW84"/>
  <c r="A85"/>
  <c r="C85"/>
  <c r="O85"/>
  <c r="U85"/>
  <c r="AW85"/>
  <c r="A86"/>
  <c r="C86"/>
  <c r="O86"/>
  <c r="U86"/>
  <c r="AW86"/>
  <c r="A87"/>
  <c r="C87"/>
  <c r="O87"/>
  <c r="U87"/>
  <c r="AW87"/>
  <c r="A88"/>
  <c r="C88"/>
  <c r="O88"/>
  <c r="U88"/>
  <c r="AW88"/>
  <c r="A89"/>
  <c r="C89"/>
  <c r="O89"/>
  <c r="U89"/>
  <c r="AW89"/>
  <c r="A90"/>
  <c r="C90"/>
  <c r="O90"/>
  <c r="U90"/>
  <c r="AW90"/>
  <c r="A91"/>
  <c r="C91"/>
  <c r="U91"/>
  <c r="V91"/>
  <c r="AW91"/>
  <c r="A92"/>
  <c r="C92"/>
  <c r="O92"/>
  <c r="U92"/>
  <c r="AW92"/>
  <c r="A93"/>
  <c r="C93"/>
  <c r="O93"/>
  <c r="U93"/>
  <c r="AW93"/>
  <c r="A94"/>
  <c r="C94"/>
  <c r="O94"/>
  <c r="U94"/>
  <c r="AW94"/>
  <c r="A95"/>
  <c r="C95"/>
  <c r="U95"/>
  <c r="V95"/>
  <c r="AW95"/>
  <c r="A96"/>
  <c r="C96"/>
  <c r="O96"/>
  <c r="U96"/>
  <c r="AW96"/>
  <c r="A97"/>
  <c r="C97"/>
  <c r="O97"/>
  <c r="U97"/>
  <c r="AW97"/>
  <c r="A98"/>
  <c r="C98"/>
  <c r="O98"/>
  <c r="U98"/>
  <c r="AW98"/>
  <c r="A99"/>
  <c r="C99"/>
  <c r="O99"/>
  <c r="U99"/>
  <c r="A100"/>
  <c r="C100"/>
  <c r="U100"/>
  <c r="V100"/>
  <c r="AW100"/>
  <c r="A101"/>
  <c r="C101"/>
  <c r="O101"/>
  <c r="U101"/>
  <c r="AW101"/>
  <c r="A102"/>
  <c r="C102"/>
  <c r="O102"/>
  <c r="U102"/>
  <c r="AW102"/>
  <c r="A103"/>
  <c r="C103"/>
  <c r="O103"/>
  <c r="U103"/>
  <c r="AW103"/>
  <c r="A104"/>
  <c r="C104"/>
  <c r="U104"/>
  <c r="V104"/>
  <c r="AW104"/>
  <c r="A105"/>
  <c r="C105"/>
  <c r="E105"/>
  <c r="O105"/>
  <c r="U105"/>
  <c r="AW105"/>
  <c r="A106"/>
  <c r="C106"/>
  <c r="O106"/>
  <c r="U106"/>
  <c r="AW106"/>
  <c r="A107"/>
  <c r="C107"/>
  <c r="U107"/>
  <c r="V107"/>
  <c r="AW107"/>
  <c r="A108"/>
  <c r="C108"/>
  <c r="O108"/>
  <c r="U108"/>
  <c r="AW108"/>
  <c r="A109"/>
  <c r="C109"/>
  <c r="O109"/>
  <c r="U109"/>
  <c r="AW109"/>
  <c r="A110"/>
  <c r="C110"/>
  <c r="O110"/>
  <c r="U110"/>
  <c r="AW110"/>
  <c r="A111"/>
  <c r="C111"/>
  <c r="O111"/>
  <c r="U111"/>
  <c r="AW111"/>
  <c r="A112"/>
  <c r="C112"/>
  <c r="O112"/>
  <c r="U112"/>
  <c r="AW112"/>
  <c r="A113"/>
  <c r="C113"/>
  <c r="U113"/>
  <c r="V113"/>
  <c r="AW113"/>
  <c r="A114"/>
  <c r="C114"/>
  <c r="O114"/>
  <c r="U114"/>
  <c r="AW114"/>
  <c r="A115"/>
  <c r="C115"/>
  <c r="E115"/>
  <c r="O115"/>
  <c r="U115"/>
  <c r="A116"/>
  <c r="C116"/>
  <c r="O116"/>
  <c r="U116"/>
  <c r="AW116"/>
  <c r="A117"/>
  <c r="C117"/>
  <c r="O117"/>
  <c r="U117"/>
  <c r="AW117"/>
  <c r="A118"/>
  <c r="C118"/>
  <c r="O118"/>
  <c r="U118"/>
  <c r="AW118"/>
  <c r="A119"/>
  <c r="C119"/>
  <c r="U119"/>
  <c r="V119"/>
  <c r="AW119"/>
  <c r="A120"/>
  <c r="C120"/>
  <c r="U120"/>
  <c r="V120"/>
  <c r="AW120"/>
  <c r="A121"/>
  <c r="C121"/>
  <c r="O121"/>
  <c r="U121"/>
  <c r="AW121"/>
  <c r="A122"/>
  <c r="C122"/>
  <c r="O122"/>
  <c r="U122"/>
  <c r="AW122"/>
  <c r="A123"/>
  <c r="C123"/>
  <c r="U123"/>
  <c r="V123"/>
  <c r="AW123"/>
  <c r="A124"/>
  <c r="C124"/>
  <c r="O124"/>
  <c r="U124"/>
  <c r="AW124"/>
  <c r="A125"/>
  <c r="C125"/>
  <c r="O125"/>
  <c r="U125"/>
  <c r="AW125"/>
  <c r="A126"/>
  <c r="C126"/>
  <c r="U126"/>
  <c r="V126"/>
  <c r="AW126"/>
  <c r="A127"/>
  <c r="C127"/>
  <c r="O127"/>
  <c r="U127"/>
  <c r="AW127"/>
  <c r="A128"/>
  <c r="C128"/>
  <c r="O128"/>
  <c r="U128"/>
  <c r="AW128"/>
  <c r="A129"/>
  <c r="C129"/>
  <c r="O129"/>
  <c r="U129"/>
  <c r="AW129"/>
  <c r="A130"/>
  <c r="C130"/>
  <c r="O130"/>
  <c r="U130"/>
  <c r="AW130"/>
  <c r="A131"/>
  <c r="C131"/>
  <c r="O131"/>
  <c r="U131"/>
  <c r="AW131"/>
  <c r="A132"/>
  <c r="C132"/>
  <c r="O132"/>
  <c r="U132"/>
  <c r="AW132"/>
  <c r="A133"/>
  <c r="C133"/>
  <c r="O133"/>
  <c r="U133"/>
  <c r="AW133"/>
  <c r="A134"/>
  <c r="C134"/>
  <c r="O134"/>
  <c r="U134"/>
  <c r="AW134"/>
  <c r="A135"/>
  <c r="C135"/>
  <c r="O135"/>
  <c r="U135"/>
  <c r="AW135"/>
  <c r="A136"/>
  <c r="C136"/>
  <c r="U136"/>
  <c r="V136"/>
  <c r="AW136"/>
  <c r="A137"/>
  <c r="C137"/>
  <c r="O137"/>
  <c r="U137"/>
  <c r="AW137"/>
  <c r="A138"/>
  <c r="C138"/>
  <c r="O138"/>
  <c r="U138"/>
  <c r="AW138"/>
  <c r="A139"/>
  <c r="C139"/>
  <c r="O139"/>
  <c r="U139"/>
  <c r="AW139"/>
  <c r="A140"/>
  <c r="C140"/>
  <c r="O140"/>
  <c r="U140"/>
  <c r="AW140"/>
  <c r="A141"/>
  <c r="C141"/>
  <c r="U141"/>
  <c r="V141"/>
  <c r="AW141"/>
  <c r="A142"/>
  <c r="C142"/>
  <c r="O142"/>
  <c r="U142"/>
  <c r="AW142"/>
  <c r="A143"/>
  <c r="C143"/>
  <c r="O143"/>
  <c r="U143"/>
  <c r="AW143"/>
  <c r="A144"/>
  <c r="C144"/>
  <c r="O144"/>
  <c r="U144"/>
  <c r="AW144"/>
  <c r="A145"/>
  <c r="C145"/>
  <c r="O145"/>
  <c r="U145"/>
  <c r="AW145"/>
  <c r="A146"/>
  <c r="C146"/>
  <c r="E146"/>
  <c r="O146"/>
  <c r="U146"/>
  <c r="AW146"/>
  <c r="A147"/>
  <c r="C147"/>
  <c r="O147"/>
  <c r="U147"/>
  <c r="AW147"/>
  <c r="A148"/>
  <c r="C148"/>
  <c r="O148"/>
  <c r="U148"/>
  <c r="AW148"/>
  <c r="A149"/>
  <c r="C149"/>
  <c r="O149"/>
  <c r="U149"/>
  <c r="AW149"/>
  <c r="A150"/>
  <c r="C150"/>
  <c r="U150"/>
  <c r="V150"/>
  <c r="AW150"/>
  <c r="A151"/>
  <c r="C151"/>
  <c r="O151"/>
  <c r="U151"/>
  <c r="AW151"/>
  <c r="A152"/>
  <c r="C152"/>
  <c r="O152"/>
  <c r="U152"/>
  <c r="AW152"/>
  <c r="A153"/>
  <c r="C153"/>
  <c r="O153"/>
  <c r="U153"/>
  <c r="AW153"/>
  <c r="A154"/>
  <c r="C154"/>
  <c r="O154"/>
  <c r="U154"/>
  <c r="AW154"/>
  <c r="A155"/>
  <c r="C155"/>
  <c r="O155"/>
  <c r="U155"/>
  <c r="AW155"/>
  <c r="A156"/>
  <c r="C156"/>
  <c r="O156"/>
  <c r="U156"/>
  <c r="AW156"/>
  <c r="A157"/>
  <c r="C157"/>
  <c r="O157"/>
  <c r="U157"/>
  <c r="AW157"/>
  <c r="A158"/>
  <c r="C158"/>
  <c r="O158"/>
  <c r="U158"/>
  <c r="AW158"/>
  <c r="A159"/>
  <c r="C159"/>
  <c r="O159"/>
  <c r="U159"/>
  <c r="AW159"/>
  <c r="A160"/>
  <c r="C160"/>
  <c r="O160"/>
  <c r="U160"/>
  <c r="AW160"/>
  <c r="A161"/>
  <c r="C161"/>
  <c r="O161"/>
  <c r="U161"/>
  <c r="AW161"/>
  <c r="A162"/>
  <c r="C162"/>
  <c r="O162"/>
  <c r="U162"/>
  <c r="AW162"/>
  <c r="A163"/>
  <c r="C163"/>
  <c r="O163"/>
  <c r="U163"/>
  <c r="AW163"/>
  <c r="A164"/>
  <c r="C164"/>
  <c r="O164"/>
  <c r="U164"/>
  <c r="AW164"/>
  <c r="A165"/>
  <c r="C165"/>
  <c r="O165"/>
  <c r="U165"/>
  <c r="AW165"/>
  <c r="A166"/>
  <c r="C166"/>
  <c r="O166"/>
  <c r="U166"/>
  <c r="AW166"/>
  <c r="A167"/>
  <c r="C167"/>
  <c r="O167"/>
  <c r="U167"/>
  <c r="AW167"/>
  <c r="A168"/>
  <c r="C168"/>
  <c r="E168"/>
  <c r="O168"/>
  <c r="U168"/>
  <c r="A169"/>
  <c r="C169"/>
  <c r="U169"/>
  <c r="V169"/>
  <c r="AW169"/>
  <c r="A170"/>
  <c r="C170"/>
  <c r="O170"/>
  <c r="U170"/>
  <c r="A171"/>
  <c r="C171"/>
  <c r="O171"/>
  <c r="U171"/>
  <c r="AW171"/>
  <c r="A172"/>
  <c r="C172"/>
  <c r="O172"/>
  <c r="U172"/>
  <c r="AW172"/>
  <c r="A173"/>
  <c r="C173"/>
  <c r="O173"/>
  <c r="U173"/>
  <c r="AW173"/>
  <c r="A174"/>
  <c r="C174"/>
  <c r="E174"/>
  <c r="O174"/>
  <c r="U174"/>
  <c r="AW174"/>
  <c r="A175"/>
  <c r="C175"/>
  <c r="E175"/>
  <c r="O175"/>
  <c r="U175"/>
  <c r="AW175"/>
  <c r="A176"/>
  <c r="C176"/>
  <c r="O176"/>
  <c r="U176"/>
  <c r="AW176"/>
  <c r="A177"/>
  <c r="C177"/>
  <c r="O177"/>
  <c r="U177"/>
  <c r="AW177"/>
  <c r="A178"/>
  <c r="C178"/>
  <c r="O178"/>
  <c r="U178"/>
  <c r="AW178"/>
  <c r="A179"/>
  <c r="C179"/>
  <c r="O179"/>
  <c r="U179"/>
  <c r="AW179"/>
  <c r="A180"/>
  <c r="C180"/>
  <c r="U180"/>
  <c r="V180"/>
  <c r="AW180"/>
  <c r="A181"/>
  <c r="C181"/>
  <c r="O181"/>
  <c r="U181"/>
  <c r="AW181"/>
  <c r="A182"/>
  <c r="C182"/>
  <c r="O182"/>
  <c r="U182"/>
  <c r="A183"/>
  <c r="C183"/>
  <c r="E183"/>
  <c r="O183"/>
  <c r="U183"/>
  <c r="AW183"/>
  <c r="A184"/>
  <c r="C184"/>
  <c r="O184"/>
  <c r="U184"/>
  <c r="AW184"/>
  <c r="A185"/>
  <c r="C185"/>
  <c r="O185"/>
  <c r="U185"/>
  <c r="AW185"/>
  <c r="A186"/>
  <c r="C186"/>
  <c r="U186"/>
  <c r="V186"/>
  <c r="AW186"/>
  <c r="A187"/>
  <c r="C187"/>
  <c r="E187"/>
  <c r="O187"/>
  <c r="U187"/>
  <c r="AW187"/>
  <c r="A188"/>
  <c r="C188"/>
  <c r="O188"/>
  <c r="U188"/>
  <c r="AW188"/>
  <c r="A189"/>
  <c r="C189"/>
  <c r="U189"/>
  <c r="V189"/>
  <c r="AW189"/>
  <c r="A190"/>
  <c r="C190"/>
  <c r="O190"/>
  <c r="U190"/>
  <c r="AW190"/>
  <c r="A191"/>
  <c r="C191"/>
  <c r="O191"/>
  <c r="U191"/>
  <c r="AW191"/>
  <c r="A192"/>
  <c r="C192"/>
  <c r="O192"/>
  <c r="U192"/>
  <c r="AW192"/>
  <c r="A193"/>
  <c r="C193"/>
  <c r="O193"/>
  <c r="U193"/>
  <c r="AW193"/>
  <c r="A194"/>
  <c r="C194"/>
  <c r="O194"/>
  <c r="U194"/>
  <c r="AW194"/>
  <c r="A195"/>
  <c r="C195"/>
  <c r="O195"/>
  <c r="U195"/>
  <c r="AW195"/>
  <c r="A196"/>
  <c r="C196"/>
  <c r="O196"/>
  <c r="U196"/>
  <c r="A197"/>
  <c r="C197"/>
  <c r="O197"/>
  <c r="U197"/>
  <c r="AW197"/>
  <c r="A198"/>
  <c r="C198"/>
  <c r="O198"/>
  <c r="U198"/>
  <c r="AW198"/>
  <c r="A199"/>
  <c r="C199"/>
  <c r="U199"/>
  <c r="V199"/>
  <c r="AW199"/>
  <c r="A200"/>
  <c r="C200"/>
  <c r="O200"/>
  <c r="U200"/>
  <c r="AW200"/>
  <c r="A201"/>
  <c r="C201"/>
  <c r="O201"/>
  <c r="U201"/>
  <c r="AW201"/>
  <c r="A202"/>
  <c r="C202"/>
  <c r="O202"/>
  <c r="U202"/>
  <c r="AW202"/>
  <c r="A203"/>
  <c r="C203"/>
  <c r="O203"/>
  <c r="U203"/>
  <c r="AW203"/>
  <c r="A204"/>
  <c r="C204"/>
  <c r="O204"/>
  <c r="U204"/>
  <c r="AW204"/>
  <c r="A205"/>
  <c r="C205"/>
  <c r="U205"/>
  <c r="V205"/>
  <c r="AW205"/>
  <c r="A206"/>
  <c r="C206"/>
  <c r="U206"/>
  <c r="V206"/>
  <c r="AW206"/>
  <c r="A207"/>
  <c r="C207"/>
  <c r="O207"/>
  <c r="U207"/>
  <c r="AW207"/>
  <c r="A208"/>
  <c r="C208"/>
  <c r="O208"/>
  <c r="U208"/>
  <c r="AW208"/>
  <c r="A209"/>
  <c r="C209"/>
  <c r="O209"/>
  <c r="U209"/>
  <c r="A210"/>
  <c r="C210"/>
  <c r="O210"/>
  <c r="U210"/>
  <c r="AW210"/>
  <c r="A211"/>
  <c r="C211"/>
  <c r="O211"/>
  <c r="U211"/>
  <c r="AW211"/>
  <c r="A212"/>
  <c r="C212"/>
  <c r="U212"/>
  <c r="V212"/>
  <c r="AW212"/>
  <c r="A213"/>
  <c r="C213"/>
  <c r="O213"/>
  <c r="U213"/>
  <c r="AW213"/>
  <c r="A214"/>
  <c r="C214"/>
  <c r="O214"/>
  <c r="U214"/>
  <c r="AW214"/>
  <c r="A215"/>
  <c r="C215"/>
  <c r="O215"/>
  <c r="U215"/>
  <c r="AW215"/>
  <c r="A216"/>
  <c r="C216"/>
  <c r="O216"/>
  <c r="U216"/>
  <c r="AW216"/>
  <c r="A217"/>
  <c r="C217"/>
  <c r="O217"/>
  <c r="U217"/>
  <c r="AW217"/>
  <c r="A218"/>
  <c r="C218"/>
  <c r="O218"/>
  <c r="U218"/>
  <c r="AW218"/>
  <c r="A219"/>
  <c r="C219"/>
  <c r="U219"/>
  <c r="V219"/>
  <c r="AW219"/>
  <c r="A220"/>
  <c r="C220"/>
  <c r="O220"/>
  <c r="U220"/>
  <c r="A221"/>
  <c r="C221"/>
  <c r="O221"/>
  <c r="U221"/>
  <c r="AW221"/>
  <c r="A222"/>
  <c r="C222"/>
  <c r="O222"/>
  <c r="U222"/>
  <c r="V222"/>
  <c r="AW222"/>
  <c r="A223"/>
  <c r="C223"/>
  <c r="O223"/>
  <c r="U223"/>
  <c r="AW223"/>
  <c r="A224"/>
  <c r="C224"/>
  <c r="O224"/>
  <c r="U224"/>
  <c r="AW224"/>
  <c r="A225"/>
  <c r="C225"/>
  <c r="E225"/>
  <c r="O225"/>
  <c r="U225"/>
  <c r="A226"/>
  <c r="C226"/>
  <c r="O226"/>
  <c r="U226"/>
  <c r="AW226"/>
  <c r="A227"/>
  <c r="C227"/>
  <c r="E227"/>
  <c r="O227"/>
  <c r="U227"/>
  <c r="A228"/>
  <c r="C228"/>
  <c r="U228"/>
  <c r="V228"/>
  <c r="AW228"/>
  <c r="A229"/>
  <c r="C229"/>
  <c r="O229"/>
  <c r="U229"/>
  <c r="AW229"/>
  <c r="A230"/>
  <c r="C230"/>
  <c r="O230"/>
  <c r="U230"/>
  <c r="AW230"/>
  <c r="A231"/>
  <c r="C231"/>
  <c r="O231"/>
  <c r="U231"/>
  <c r="AW231"/>
  <c r="A232"/>
  <c r="C232"/>
  <c r="O232"/>
  <c r="U232"/>
  <c r="AW232"/>
  <c r="A233"/>
  <c r="C233"/>
  <c r="O233"/>
  <c r="U233"/>
  <c r="AW233"/>
  <c r="A234"/>
  <c r="C234"/>
  <c r="O234"/>
  <c r="U234"/>
  <c r="AW234"/>
  <c r="A235"/>
  <c r="C235"/>
  <c r="O235"/>
  <c r="U235"/>
  <c r="AW235"/>
  <c r="A236"/>
  <c r="C236"/>
  <c r="O236"/>
  <c r="U236"/>
  <c r="AW236"/>
  <c r="A237"/>
  <c r="C237"/>
  <c r="E237"/>
  <c r="O237"/>
  <c r="U237"/>
  <c r="AW237"/>
  <c r="A238"/>
  <c r="C238"/>
  <c r="U238"/>
  <c r="V238"/>
  <c r="AW238"/>
  <c r="A239"/>
  <c r="C239"/>
  <c r="O239"/>
  <c r="U239"/>
  <c r="AW239"/>
  <c r="A240"/>
  <c r="C240"/>
  <c r="U240"/>
  <c r="V240"/>
  <c r="AW240"/>
  <c r="A241"/>
  <c r="C241"/>
  <c r="E241"/>
  <c r="O241"/>
  <c r="U241"/>
  <c r="AW241"/>
  <c r="A242"/>
  <c r="C242"/>
  <c r="U242"/>
  <c r="V242"/>
  <c r="AW242"/>
  <c r="A243"/>
  <c r="C243"/>
  <c r="E243"/>
  <c r="O243"/>
  <c r="U243"/>
  <c r="A244"/>
  <c r="C244"/>
  <c r="O244"/>
  <c r="U244"/>
  <c r="AW244"/>
  <c r="A245"/>
  <c r="C245"/>
  <c r="O245"/>
  <c r="U245"/>
  <c r="AW245"/>
  <c r="A246"/>
  <c r="C246"/>
  <c r="E246"/>
  <c r="O246"/>
  <c r="U246"/>
  <c r="AW246"/>
  <c r="A247"/>
  <c r="C247"/>
  <c r="U247"/>
  <c r="V247"/>
  <c r="AW247"/>
  <c r="A248"/>
  <c r="C248"/>
  <c r="O248"/>
  <c r="U248"/>
  <c r="AW248"/>
  <c r="A249"/>
  <c r="C249"/>
  <c r="E249"/>
  <c r="O249"/>
  <c r="U249"/>
  <c r="AW249"/>
  <c r="A250"/>
  <c r="C250"/>
  <c r="E250"/>
  <c r="O250"/>
  <c r="U250"/>
  <c r="AW250"/>
  <c r="A251"/>
  <c r="C251"/>
  <c r="O251"/>
  <c r="U251"/>
  <c r="AW251"/>
  <c r="A252"/>
  <c r="C252"/>
  <c r="A253"/>
  <c r="C253"/>
  <c r="O253"/>
  <c r="U253"/>
  <c r="AW253"/>
  <c r="A254"/>
  <c r="C254"/>
  <c r="O254"/>
  <c r="U254"/>
  <c r="AW254"/>
  <c r="A255"/>
  <c r="C255"/>
  <c r="O255"/>
  <c r="U255"/>
  <c r="AW255"/>
  <c r="A256"/>
  <c r="C256"/>
  <c r="O256"/>
  <c r="U256"/>
  <c r="AW256"/>
  <c r="A257"/>
  <c r="C257"/>
  <c r="O257"/>
  <c r="U257"/>
  <c r="AW257"/>
  <c r="A258"/>
  <c r="C258"/>
  <c r="E258"/>
  <c r="O258"/>
  <c r="U258"/>
  <c r="AW258"/>
  <c r="A259"/>
  <c r="C259"/>
  <c r="E259"/>
  <c r="O259"/>
  <c r="U259"/>
  <c r="AW259"/>
  <c r="A260"/>
  <c r="C260"/>
  <c r="O260"/>
  <c r="U260"/>
  <c r="AW260"/>
  <c r="A261"/>
  <c r="C261"/>
  <c r="E261"/>
  <c r="U261"/>
  <c r="V261"/>
  <c r="A262"/>
  <c r="C262"/>
  <c r="E262"/>
  <c r="O262"/>
  <c r="U262"/>
  <c r="AW262"/>
  <c r="A263"/>
  <c r="C263"/>
  <c r="O263"/>
  <c r="U263"/>
  <c r="AW263"/>
  <c r="A264"/>
  <c r="C264"/>
  <c r="E264"/>
  <c r="O264"/>
  <c r="U264"/>
  <c r="AW264"/>
  <c r="A265"/>
  <c r="C265"/>
  <c r="E265"/>
  <c r="O265"/>
  <c r="U265"/>
  <c r="AW265"/>
  <c r="A266"/>
  <c r="C266"/>
  <c r="O266"/>
  <c r="U266"/>
  <c r="AW266"/>
  <c r="A267"/>
  <c r="C267"/>
  <c r="O267"/>
  <c r="U267"/>
  <c r="AW267"/>
  <c r="A268"/>
  <c r="C268"/>
  <c r="E268"/>
  <c r="O268"/>
  <c r="U268"/>
  <c r="AW268"/>
  <c r="A269"/>
  <c r="C269"/>
  <c r="E269"/>
  <c r="O269"/>
  <c r="U269"/>
  <c r="AW269"/>
  <c r="A270"/>
  <c r="C270"/>
  <c r="O270"/>
  <c r="U270"/>
  <c r="AW270"/>
  <c r="A271"/>
  <c r="C271"/>
  <c r="O271"/>
  <c r="U271"/>
  <c r="AW271"/>
  <c r="A272"/>
  <c r="C272"/>
  <c r="E272"/>
  <c r="O272"/>
  <c r="U272"/>
  <c r="AW272"/>
  <c r="A273"/>
  <c r="C273"/>
  <c r="O273"/>
  <c r="U273"/>
  <c r="AW273"/>
  <c r="A274"/>
  <c r="C274"/>
  <c r="O274"/>
  <c r="U274"/>
  <c r="AW274"/>
  <c r="A275"/>
  <c r="C275"/>
  <c r="E275"/>
  <c r="O275"/>
  <c r="U275"/>
  <c r="AW275"/>
  <c r="A276"/>
  <c r="C276"/>
  <c r="E276"/>
  <c r="O276"/>
  <c r="U276"/>
  <c r="A277"/>
  <c r="C277"/>
  <c r="E277"/>
  <c r="O277"/>
  <c r="U277"/>
  <c r="AW277"/>
  <c r="A278"/>
  <c r="C278"/>
  <c r="E278"/>
  <c r="U278"/>
  <c r="V278"/>
  <c r="AW278"/>
  <c r="A279"/>
  <c r="C279"/>
  <c r="U279"/>
  <c r="V279"/>
  <c r="AW279"/>
  <c r="A280"/>
  <c r="C280"/>
  <c r="E280"/>
  <c r="O280"/>
  <c r="U280"/>
  <c r="AW280"/>
  <c r="A281"/>
  <c r="C281"/>
  <c r="O281"/>
  <c r="U281"/>
  <c r="AW281"/>
  <c r="A282"/>
  <c r="C282"/>
  <c r="E282"/>
  <c r="O282"/>
  <c r="U282"/>
  <c r="AW282"/>
  <c r="A283"/>
  <c r="C283"/>
  <c r="E283"/>
  <c r="O283"/>
  <c r="U283"/>
  <c r="AW283"/>
  <c r="A284"/>
  <c r="C284"/>
  <c r="O284"/>
  <c r="U284"/>
  <c r="AW284"/>
  <c r="A285"/>
  <c r="C285"/>
  <c r="O285"/>
  <c r="U285"/>
  <c r="AW285"/>
  <c r="A286"/>
  <c r="C286"/>
  <c r="O286"/>
  <c r="U286"/>
  <c r="AW286"/>
  <c r="A287"/>
  <c r="C287"/>
  <c r="U287"/>
  <c r="V287"/>
  <c r="AW287"/>
  <c r="A288"/>
  <c r="C288"/>
  <c r="O288"/>
  <c r="U288"/>
  <c r="AW288"/>
  <c r="A289"/>
  <c r="C289"/>
  <c r="O289"/>
  <c r="U289"/>
  <c r="AW289"/>
  <c r="A290"/>
  <c r="C290"/>
  <c r="O290"/>
  <c r="U290"/>
  <c r="AW290"/>
  <c r="A291"/>
  <c r="C291"/>
  <c r="O291"/>
  <c r="U291"/>
  <c r="AW291"/>
  <c r="A292"/>
  <c r="C292"/>
  <c r="U292"/>
  <c r="V292"/>
  <c r="AW292"/>
  <c r="A293"/>
  <c r="C293"/>
  <c r="O293"/>
  <c r="U293"/>
  <c r="AW293"/>
  <c r="A294"/>
  <c r="C294"/>
  <c r="O294"/>
  <c r="U294"/>
  <c r="AW294"/>
  <c r="A295"/>
  <c r="C295"/>
  <c r="O295"/>
  <c r="U295"/>
  <c r="AW295"/>
  <c r="A296"/>
  <c r="C296"/>
  <c r="O296"/>
  <c r="U296"/>
  <c r="AW296"/>
  <c r="A297"/>
  <c r="C297"/>
  <c r="O297"/>
  <c r="U297"/>
  <c r="AW297"/>
  <c r="A298"/>
  <c r="C298"/>
  <c r="U298"/>
  <c r="V298"/>
  <c r="AW298"/>
  <c r="A299"/>
  <c r="C299"/>
  <c r="U299"/>
  <c r="V299"/>
  <c r="AW299"/>
  <c r="A300"/>
  <c r="C300"/>
  <c r="O300"/>
  <c r="U300"/>
  <c r="AW300"/>
  <c r="A301"/>
  <c r="C301"/>
  <c r="O301"/>
  <c r="U301"/>
  <c r="AW301"/>
  <c r="A302"/>
  <c r="C302"/>
  <c r="O302"/>
  <c r="U302"/>
  <c r="AW302"/>
  <c r="A303"/>
  <c r="C303"/>
  <c r="O303"/>
  <c r="U303"/>
  <c r="AW303"/>
  <c r="A304"/>
  <c r="C304"/>
  <c r="O304"/>
  <c r="U304"/>
  <c r="A305"/>
  <c r="C305"/>
  <c r="O305"/>
  <c r="U305"/>
  <c r="AW305"/>
  <c r="A306"/>
  <c r="C306"/>
  <c r="U306"/>
  <c r="V306"/>
  <c r="AW306"/>
  <c r="A307"/>
  <c r="C307"/>
  <c r="U307"/>
  <c r="V307"/>
  <c r="AW307"/>
  <c r="A308"/>
  <c r="C308"/>
  <c r="O308"/>
  <c r="U308"/>
  <c r="AW308"/>
  <c r="A309"/>
  <c r="C309"/>
  <c r="U309"/>
  <c r="V309"/>
  <c r="AW309"/>
  <c r="A310"/>
  <c r="C310"/>
  <c r="O310"/>
  <c r="U310"/>
  <c r="AW310"/>
  <c r="A311"/>
  <c r="C311"/>
  <c r="O311"/>
  <c r="U311"/>
  <c r="AW311"/>
  <c r="A312"/>
  <c r="C312"/>
  <c r="U312"/>
  <c r="V312"/>
  <c r="AW312"/>
  <c r="A313"/>
  <c r="C313"/>
  <c r="O313"/>
  <c r="U313"/>
  <c r="AW313"/>
  <c r="A314"/>
  <c r="C314"/>
  <c r="O314"/>
  <c r="U314"/>
  <c r="AW314"/>
  <c r="A315"/>
  <c r="C315"/>
  <c r="U315"/>
  <c r="V315"/>
  <c r="AW315"/>
  <c r="A316"/>
  <c r="C316"/>
  <c r="O316"/>
  <c r="U316"/>
  <c r="AW316"/>
  <c r="A317"/>
  <c r="C317"/>
  <c r="E317"/>
  <c r="O317"/>
  <c r="U317"/>
  <c r="A318"/>
  <c r="C318"/>
  <c r="E318"/>
  <c r="O318"/>
  <c r="U318"/>
  <c r="AW318"/>
  <c r="A319"/>
  <c r="C319"/>
  <c r="O319"/>
  <c r="U319"/>
  <c r="AW319"/>
  <c r="A320"/>
  <c r="C320"/>
  <c r="E320"/>
  <c r="U320"/>
  <c r="V320"/>
  <c r="AW320"/>
  <c r="A321"/>
  <c r="C321"/>
  <c r="E321"/>
  <c r="O321"/>
  <c r="U321"/>
  <c r="A322"/>
  <c r="C322"/>
  <c r="U322"/>
  <c r="V322"/>
  <c r="AW322"/>
  <c r="A323"/>
  <c r="C323"/>
  <c r="O323"/>
  <c r="U323"/>
  <c r="AW323"/>
  <c r="A324"/>
  <c r="C324"/>
  <c r="E324"/>
  <c r="O324"/>
  <c r="U324"/>
  <c r="AW324"/>
  <c r="A325"/>
  <c r="C325"/>
  <c r="E325"/>
  <c r="O325"/>
  <c r="U325"/>
  <c r="AW325"/>
  <c r="A326"/>
  <c r="C326"/>
  <c r="O326"/>
  <c r="U326"/>
  <c r="AW326"/>
  <c r="A327"/>
  <c r="C327"/>
  <c r="E327"/>
  <c r="O327"/>
  <c r="U327"/>
  <c r="A328"/>
  <c r="C328"/>
  <c r="U328"/>
  <c r="V328"/>
  <c r="AW328"/>
  <c r="A329"/>
  <c r="C329"/>
  <c r="E329"/>
  <c r="O329"/>
  <c r="U329"/>
  <c r="AW329"/>
  <c r="A330"/>
  <c r="C330"/>
  <c r="E330"/>
  <c r="O330"/>
  <c r="U330"/>
  <c r="A331"/>
  <c r="C331"/>
  <c r="E331"/>
  <c r="O331"/>
  <c r="U331"/>
  <c r="AW331"/>
  <c r="A332"/>
  <c r="C332"/>
  <c r="U332"/>
  <c r="V332"/>
  <c r="AW332"/>
  <c r="A333"/>
  <c r="C333"/>
  <c r="O333"/>
  <c r="U333"/>
  <c r="AW333"/>
  <c r="A334"/>
  <c r="C334"/>
  <c r="O334"/>
  <c r="U334"/>
  <c r="AW334"/>
  <c r="A335"/>
  <c r="C335"/>
  <c r="O335"/>
  <c r="U335"/>
  <c r="V335"/>
  <c r="AW335"/>
  <c r="A336"/>
  <c r="C336"/>
  <c r="E336"/>
  <c r="O336"/>
  <c r="U336"/>
  <c r="AW336"/>
  <c r="A337"/>
  <c r="C337"/>
  <c r="E337"/>
  <c r="O337"/>
  <c r="U337"/>
  <c r="AW337"/>
  <c r="A338"/>
  <c r="C338"/>
  <c r="E338"/>
  <c r="O338"/>
  <c r="U338"/>
  <c r="AW338"/>
  <c r="A339"/>
  <c r="C339"/>
  <c r="O339"/>
  <c r="U339"/>
  <c r="AW339"/>
  <c r="A340"/>
  <c r="C340"/>
  <c r="E340"/>
  <c r="O340"/>
  <c r="U340"/>
  <c r="AW340"/>
  <c r="A341"/>
  <c r="C341"/>
  <c r="O341"/>
  <c r="U341"/>
  <c r="AW341"/>
  <c r="A342"/>
  <c r="C342"/>
  <c r="U342"/>
  <c r="V342"/>
  <c r="AW342"/>
  <c r="A343"/>
  <c r="C343"/>
  <c r="O343"/>
  <c r="U343"/>
  <c r="AW343"/>
  <c r="A344"/>
  <c r="C344"/>
  <c r="O344"/>
  <c r="U344"/>
  <c r="AW344"/>
  <c r="A345"/>
  <c r="C345"/>
  <c r="O345"/>
  <c r="U345"/>
  <c r="AW345"/>
  <c r="A346"/>
  <c r="C346"/>
  <c r="O346"/>
  <c r="U346"/>
  <c r="AW346"/>
  <c r="A347"/>
  <c r="C347"/>
  <c r="O347"/>
  <c r="U347"/>
  <c r="AW347"/>
  <c r="A348"/>
  <c r="C348"/>
  <c r="O348"/>
  <c r="U348"/>
  <c r="AW348"/>
  <c r="A349"/>
  <c r="C349"/>
  <c r="O349"/>
  <c r="U349"/>
  <c r="AW349"/>
  <c r="A350"/>
  <c r="C350"/>
  <c r="O350"/>
  <c r="U350"/>
  <c r="AW350"/>
  <c r="A351"/>
  <c r="C351"/>
  <c r="U351"/>
  <c r="V351"/>
  <c r="AW351"/>
  <c r="A352"/>
  <c r="C352"/>
  <c r="O352"/>
  <c r="U352"/>
  <c r="AW352"/>
  <c r="A353"/>
  <c r="C353"/>
  <c r="O353"/>
  <c r="U353"/>
  <c r="V353"/>
  <c r="AW353"/>
  <c r="A354"/>
  <c r="C354"/>
  <c r="O354"/>
  <c r="U354"/>
  <c r="AW354"/>
  <c r="A355"/>
  <c r="C355"/>
  <c r="O355"/>
  <c r="U355"/>
  <c r="AW355"/>
  <c r="A356"/>
  <c r="C356"/>
  <c r="O356"/>
  <c r="U356"/>
  <c r="AW356"/>
  <c r="A357"/>
  <c r="C357"/>
  <c r="O357"/>
  <c r="U357"/>
  <c r="AW357"/>
  <c r="A358"/>
  <c r="C358"/>
  <c r="O358"/>
  <c r="U358"/>
  <c r="AW358"/>
  <c r="A359"/>
  <c r="C359"/>
  <c r="O359"/>
  <c r="U359"/>
  <c r="AW359"/>
  <c r="A360"/>
  <c r="C360"/>
  <c r="O360"/>
  <c r="U360"/>
  <c r="AW360"/>
  <c r="A361"/>
  <c r="C361"/>
  <c r="O361"/>
  <c r="U361"/>
  <c r="V361"/>
  <c r="AW361"/>
  <c r="A362"/>
  <c r="C362"/>
  <c r="O362"/>
  <c r="U362"/>
  <c r="AW362"/>
  <c r="A363"/>
  <c r="C363"/>
  <c r="O363"/>
  <c r="U363"/>
  <c r="AW363"/>
  <c r="A364"/>
  <c r="C364"/>
  <c r="O364"/>
  <c r="U364"/>
  <c r="AW364"/>
  <c r="A365"/>
  <c r="C365"/>
  <c r="O365"/>
  <c r="U365"/>
  <c r="AW365"/>
  <c r="A366"/>
  <c r="C366"/>
  <c r="O366"/>
  <c r="U366"/>
  <c r="AW366"/>
  <c r="A367"/>
  <c r="C367"/>
  <c r="U367"/>
  <c r="V367"/>
  <c r="AW367"/>
  <c r="A368"/>
  <c r="C368"/>
  <c r="O368"/>
  <c r="U368"/>
  <c r="AW368"/>
  <c r="A369"/>
  <c r="C369"/>
  <c r="O369"/>
  <c r="U369"/>
  <c r="AW369"/>
  <c r="A370"/>
  <c r="C370"/>
  <c r="E370"/>
  <c r="O370"/>
  <c r="U370"/>
  <c r="A371"/>
  <c r="C371"/>
  <c r="O371"/>
  <c r="U371"/>
  <c r="AW371"/>
  <c r="A372"/>
  <c r="C372"/>
  <c r="O372"/>
  <c r="U372"/>
  <c r="AW372"/>
  <c r="A373"/>
  <c r="C373"/>
  <c r="O373"/>
  <c r="U373"/>
  <c r="AW373"/>
  <c r="A374"/>
  <c r="C374"/>
  <c r="E374"/>
  <c r="O374"/>
  <c r="U374"/>
  <c r="AW374"/>
  <c r="A375"/>
  <c r="C375"/>
  <c r="O375"/>
  <c r="U375"/>
  <c r="AW375"/>
  <c r="A376"/>
  <c r="C376"/>
  <c r="O376"/>
  <c r="U376"/>
  <c r="AW376"/>
  <c r="A377"/>
  <c r="C377"/>
  <c r="E377"/>
  <c r="U377"/>
  <c r="V377"/>
  <c r="AW377"/>
  <c r="A378"/>
  <c r="C378"/>
  <c r="O378"/>
  <c r="U378"/>
  <c r="AW378"/>
  <c r="A379"/>
  <c r="C379"/>
  <c r="O379"/>
  <c r="U379"/>
  <c r="AW379"/>
  <c r="A380"/>
  <c r="C380"/>
  <c r="E380"/>
  <c r="O380"/>
  <c r="U380"/>
  <c r="AW380"/>
  <c r="A381"/>
  <c r="C381"/>
  <c r="E381"/>
  <c r="U381"/>
  <c r="V381"/>
  <c r="AW381"/>
  <c r="A382"/>
  <c r="C382"/>
  <c r="E382"/>
  <c r="U382"/>
  <c r="V382"/>
  <c r="AW382"/>
  <c r="A383"/>
  <c r="C383"/>
  <c r="O383"/>
  <c r="U383"/>
  <c r="AW383"/>
  <c r="A384"/>
  <c r="C384"/>
  <c r="O384"/>
  <c r="U384"/>
  <c r="AW384"/>
  <c r="A385"/>
  <c r="C385"/>
  <c r="E385"/>
  <c r="O385"/>
  <c r="U385"/>
  <c r="AW385"/>
  <c r="A386"/>
  <c r="C386"/>
  <c r="O386"/>
  <c r="U386"/>
  <c r="AW386"/>
  <c r="A387"/>
  <c r="C387"/>
  <c r="E387"/>
  <c r="O387"/>
  <c r="U387"/>
  <c r="AW387"/>
  <c r="A388"/>
  <c r="C388"/>
  <c r="O388"/>
  <c r="U388"/>
  <c r="AW388"/>
  <c r="A389"/>
  <c r="C389"/>
  <c r="E389"/>
  <c r="O389"/>
  <c r="U389"/>
  <c r="AW389"/>
  <c r="A390"/>
  <c r="C390"/>
  <c r="U390"/>
  <c r="V390"/>
  <c r="AW390"/>
  <c r="A391"/>
  <c r="C391"/>
  <c r="U391"/>
  <c r="V391"/>
  <c r="AW391"/>
  <c r="A392"/>
  <c r="C392"/>
  <c r="U392"/>
  <c r="V392"/>
  <c r="AW392"/>
  <c r="A393"/>
  <c r="C393"/>
  <c r="O393"/>
  <c r="U393"/>
  <c r="AW393"/>
  <c r="A394"/>
  <c r="C394"/>
  <c r="O394"/>
  <c r="U394"/>
  <c r="AW394"/>
  <c r="A395"/>
  <c r="C395"/>
  <c r="U395"/>
  <c r="V395"/>
  <c r="AW395"/>
  <c r="A396"/>
  <c r="C396"/>
  <c r="E396"/>
  <c r="O396"/>
  <c r="U396"/>
  <c r="AW396"/>
  <c r="A397"/>
  <c r="C397"/>
  <c r="E397"/>
  <c r="O397"/>
  <c r="U397"/>
  <c r="AW397"/>
  <c r="A398"/>
  <c r="C398"/>
  <c r="O398"/>
  <c r="U398"/>
  <c r="AW398"/>
  <c r="A399"/>
  <c r="C399"/>
  <c r="O399"/>
  <c r="U399"/>
  <c r="AW399"/>
  <c r="A400"/>
  <c r="C400"/>
  <c r="O400"/>
  <c r="U400"/>
  <c r="AW400"/>
  <c r="A401"/>
  <c r="C401"/>
  <c r="O401"/>
  <c r="U401"/>
  <c r="AW401"/>
  <c r="A402"/>
  <c r="C402"/>
  <c r="E402"/>
  <c r="O402"/>
  <c r="U402"/>
  <c r="A403"/>
  <c r="C403"/>
  <c r="U403"/>
  <c r="V403"/>
  <c r="AW403"/>
  <c r="A404"/>
  <c r="C404"/>
  <c r="U404"/>
  <c r="V404"/>
  <c r="AW404"/>
  <c r="A405"/>
  <c r="C405"/>
  <c r="O405"/>
  <c r="U405"/>
  <c r="AW405"/>
  <c r="A406"/>
  <c r="C406"/>
  <c r="O406"/>
  <c r="U406"/>
  <c r="AW406"/>
  <c r="A407"/>
  <c r="C407"/>
  <c r="O407"/>
  <c r="U407"/>
  <c r="AW407"/>
  <c r="A408"/>
  <c r="C408"/>
  <c r="O408"/>
  <c r="U408"/>
  <c r="AW408"/>
  <c r="A409"/>
  <c r="C409"/>
  <c r="O409"/>
  <c r="U409"/>
  <c r="AW409"/>
  <c r="A410"/>
  <c r="C410"/>
  <c r="O410"/>
  <c r="U410"/>
  <c r="AW410"/>
  <c r="A411"/>
  <c r="C411"/>
  <c r="O411"/>
  <c r="U411"/>
  <c r="AW411"/>
  <c r="A412"/>
  <c r="C412"/>
  <c r="U412"/>
  <c r="V412"/>
  <c r="AW412"/>
  <c r="A413"/>
  <c r="C413"/>
  <c r="O413"/>
  <c r="U413"/>
  <c r="AW413"/>
  <c r="A414"/>
  <c r="C414"/>
  <c r="O414"/>
  <c r="U414"/>
  <c r="AW414"/>
  <c r="A415"/>
  <c r="C415"/>
  <c r="O415"/>
  <c r="U415"/>
  <c r="AW415"/>
  <c r="A416"/>
  <c r="C416"/>
  <c r="O416"/>
  <c r="U416"/>
  <c r="AW416"/>
  <c r="A417"/>
  <c r="C417"/>
  <c r="O417"/>
  <c r="U417"/>
  <c r="AW417"/>
  <c r="A418"/>
  <c r="C418"/>
  <c r="E418"/>
  <c r="O418"/>
  <c r="U418"/>
  <c r="AW418"/>
  <c r="A419"/>
  <c r="C419"/>
  <c r="O419"/>
  <c r="U419"/>
  <c r="A420"/>
  <c r="C420"/>
  <c r="O420"/>
  <c r="U420"/>
  <c r="AW420"/>
  <c r="A421"/>
  <c r="C421"/>
  <c r="O421"/>
  <c r="U421"/>
  <c r="AW421"/>
  <c r="A422"/>
  <c r="C422"/>
  <c r="O422"/>
  <c r="U422"/>
  <c r="AW422"/>
  <c r="A423"/>
  <c r="C423"/>
  <c r="O423"/>
  <c r="U423"/>
  <c r="AW423"/>
  <c r="A424"/>
  <c r="C424"/>
  <c r="O424"/>
  <c r="U424"/>
  <c r="AW424"/>
  <c r="A425"/>
  <c r="C425"/>
  <c r="U425"/>
  <c r="V425"/>
  <c r="AW425"/>
  <c r="A426"/>
  <c r="C426"/>
  <c r="O426"/>
  <c r="U426"/>
  <c r="AW426"/>
  <c r="A427"/>
  <c r="C427"/>
  <c r="E427"/>
  <c r="O427"/>
  <c r="U427"/>
  <c r="A428"/>
  <c r="C428"/>
  <c r="O428"/>
  <c r="U428"/>
  <c r="AW428"/>
  <c r="A429"/>
  <c r="C429"/>
  <c r="O429"/>
  <c r="U429"/>
  <c r="AW429"/>
  <c r="A430"/>
  <c r="C430"/>
  <c r="O430"/>
  <c r="U430"/>
  <c r="AW430"/>
  <c r="A431"/>
  <c r="C431"/>
  <c r="O431"/>
  <c r="U431"/>
  <c r="AW431"/>
  <c r="A432"/>
  <c r="C432"/>
  <c r="O432"/>
  <c r="U432"/>
  <c r="AW432"/>
  <c r="A433"/>
  <c r="C433"/>
  <c r="U433"/>
  <c r="V433"/>
  <c r="AW433"/>
  <c r="A434"/>
  <c r="C434"/>
  <c r="U434"/>
  <c r="V434"/>
  <c r="AW434"/>
  <c r="A435"/>
  <c r="C435"/>
  <c r="O435"/>
  <c r="U435"/>
  <c r="AW435"/>
  <c r="A436"/>
  <c r="C436"/>
  <c r="O436"/>
  <c r="U436"/>
  <c r="AW436"/>
  <c r="A437"/>
  <c r="C437"/>
  <c r="O437"/>
  <c r="U437"/>
  <c r="AW437"/>
  <c r="A438"/>
  <c r="C438"/>
  <c r="U438"/>
  <c r="V438"/>
  <c r="AW438"/>
  <c r="A439"/>
  <c r="C439"/>
  <c r="O439"/>
  <c r="U439"/>
  <c r="AW439"/>
  <c r="A440"/>
  <c r="C440"/>
  <c r="E440"/>
  <c r="U440"/>
  <c r="V440"/>
  <c r="AW440"/>
  <c r="A441"/>
  <c r="C441"/>
  <c r="O441"/>
  <c r="U441"/>
  <c r="AW441"/>
  <c r="A442"/>
  <c r="C442"/>
  <c r="O442"/>
  <c r="U442"/>
  <c r="A443"/>
  <c r="C443"/>
  <c r="O443"/>
  <c r="U443"/>
  <c r="AW443"/>
  <c r="A444"/>
  <c r="C444"/>
  <c r="O444"/>
  <c r="U444"/>
  <c r="AW444"/>
  <c r="A445"/>
  <c r="C445"/>
  <c r="O445"/>
  <c r="U445"/>
  <c r="A446"/>
  <c r="C446"/>
  <c r="O446"/>
  <c r="U446"/>
  <c r="AW446"/>
  <c r="A447"/>
  <c r="C447"/>
  <c r="O447"/>
  <c r="U447"/>
  <c r="AW447"/>
  <c r="A448"/>
  <c r="C448"/>
  <c r="O448"/>
  <c r="U448"/>
  <c r="AW448"/>
  <c r="A449"/>
  <c r="C449"/>
  <c r="O449"/>
  <c r="U449"/>
  <c r="AW449"/>
  <c r="A450"/>
  <c r="C450"/>
  <c r="O450"/>
  <c r="U450"/>
  <c r="AW450"/>
  <c r="A451"/>
  <c r="C451"/>
  <c r="O451"/>
  <c r="U451"/>
  <c r="AW451"/>
  <c r="A452"/>
  <c r="C452"/>
  <c r="O452"/>
  <c r="U452"/>
  <c r="AW452"/>
  <c r="A453"/>
  <c r="C453"/>
  <c r="O453"/>
  <c r="U453"/>
  <c r="AW453"/>
  <c r="A454"/>
  <c r="C454"/>
  <c r="U454"/>
  <c r="V454"/>
  <c r="AW454"/>
  <c r="A455"/>
  <c r="C455"/>
  <c r="O455"/>
  <c r="U455"/>
  <c r="AW455"/>
  <c r="A456"/>
  <c r="C456"/>
  <c r="U456"/>
  <c r="V456"/>
  <c r="AW456"/>
  <c r="A457"/>
  <c r="C457"/>
  <c r="O457"/>
  <c r="U457"/>
  <c r="AW457"/>
  <c r="A458"/>
  <c r="C458"/>
  <c r="O458"/>
  <c r="U458"/>
  <c r="AW458"/>
  <c r="A459"/>
  <c r="C459"/>
  <c r="O459"/>
  <c r="U459"/>
  <c r="AW459"/>
  <c r="A460"/>
  <c r="C460"/>
  <c r="O460"/>
  <c r="U460"/>
  <c r="AW460"/>
  <c r="A461"/>
  <c r="C461"/>
  <c r="U461"/>
  <c r="V461"/>
  <c r="AW461"/>
  <c r="A462"/>
  <c r="C462"/>
  <c r="O462"/>
  <c r="U462"/>
  <c r="AW462"/>
  <c r="A463"/>
  <c r="C463"/>
  <c r="E463"/>
  <c r="O463"/>
  <c r="U463"/>
  <c r="AW463"/>
  <c r="A464"/>
  <c r="C464"/>
  <c r="O464"/>
  <c r="U464"/>
  <c r="AW464"/>
  <c r="A465"/>
  <c r="C465"/>
  <c r="U465"/>
  <c r="V465"/>
  <c r="AW465"/>
  <c r="A466"/>
  <c r="C466"/>
  <c r="O466"/>
  <c r="U466"/>
  <c r="AW466"/>
  <c r="A467"/>
  <c r="C467"/>
  <c r="O467"/>
  <c r="U467"/>
  <c r="AW467"/>
  <c r="A468"/>
  <c r="C468"/>
  <c r="O468"/>
  <c r="U468"/>
  <c r="AW468"/>
  <c r="A469"/>
  <c r="C469"/>
  <c r="O469"/>
  <c r="U469"/>
  <c r="AW469"/>
  <c r="A470"/>
  <c r="C470"/>
  <c r="O470"/>
  <c r="U470"/>
  <c r="AW470"/>
  <c r="A471"/>
  <c r="C471"/>
  <c r="O471"/>
  <c r="U471"/>
  <c r="AW471"/>
  <c r="A472"/>
  <c r="C472"/>
  <c r="O472"/>
  <c r="U472"/>
  <c r="AW472"/>
  <c r="A473"/>
  <c r="C473"/>
  <c r="O473"/>
  <c r="U473"/>
  <c r="AW473"/>
  <c r="A474"/>
  <c r="C474"/>
  <c r="O474"/>
  <c r="U474"/>
  <c r="AW474"/>
  <c r="A475"/>
  <c r="C475"/>
  <c r="O475"/>
  <c r="U475"/>
  <c r="AW475"/>
  <c r="A476"/>
  <c r="C476"/>
  <c r="O476"/>
  <c r="U476"/>
  <c r="AW476"/>
  <c r="A477"/>
  <c r="C477"/>
  <c r="O477"/>
  <c r="U477"/>
  <c r="AW477"/>
  <c r="A478"/>
  <c r="C478"/>
  <c r="O478"/>
  <c r="U478"/>
  <c r="AW478"/>
  <c r="A479"/>
  <c r="C479"/>
  <c r="O479"/>
  <c r="U479"/>
  <c r="AW479"/>
  <c r="A480"/>
  <c r="C480"/>
  <c r="O480"/>
  <c r="U480"/>
  <c r="AW480"/>
  <c r="A481"/>
  <c r="C481"/>
  <c r="O481"/>
  <c r="U481"/>
  <c r="AW481"/>
  <c r="A482"/>
  <c r="C482"/>
  <c r="O482"/>
  <c r="U482"/>
  <c r="AW482"/>
  <c r="A483"/>
  <c r="C483"/>
  <c r="O483"/>
  <c r="U483"/>
  <c r="AW483"/>
  <c r="A484"/>
  <c r="C484"/>
  <c r="U484"/>
  <c r="V484"/>
  <c r="AW484"/>
  <c r="A485"/>
  <c r="C485"/>
  <c r="U485"/>
  <c r="V485"/>
  <c r="AW485"/>
  <c r="A486"/>
  <c r="C486"/>
  <c r="O486"/>
  <c r="U486"/>
  <c r="AW486"/>
  <c r="A487"/>
  <c r="C487"/>
  <c r="O487"/>
  <c r="U487"/>
  <c r="AW487"/>
  <c r="A488"/>
  <c r="C488"/>
  <c r="O488"/>
  <c r="U488"/>
  <c r="AW488"/>
  <c r="A489"/>
  <c r="C489"/>
  <c r="O489"/>
  <c r="U489"/>
  <c r="AW489"/>
  <c r="A490"/>
  <c r="C490"/>
  <c r="O490"/>
  <c r="U490"/>
  <c r="V490"/>
  <c r="AW490"/>
  <c r="A491"/>
  <c r="C491"/>
  <c r="O491"/>
  <c r="U491"/>
  <c r="AW491"/>
  <c r="A492"/>
  <c r="C492"/>
  <c r="O492"/>
  <c r="U492"/>
  <c r="AW492"/>
  <c r="A493"/>
  <c r="C493"/>
  <c r="O493"/>
  <c r="U493"/>
  <c r="AW493"/>
  <c r="A494"/>
  <c r="C494"/>
  <c r="O494"/>
  <c r="U494"/>
  <c r="AW494"/>
  <c r="A495"/>
  <c r="C495"/>
  <c r="O495"/>
  <c r="U495"/>
  <c r="AW495"/>
  <c r="A496"/>
  <c r="C496"/>
  <c r="O496"/>
  <c r="U496"/>
  <c r="AW496"/>
  <c r="A497"/>
  <c r="C497"/>
  <c r="O497"/>
  <c r="U497"/>
  <c r="V497"/>
  <c r="AW497"/>
  <c r="A498"/>
  <c r="C498"/>
  <c r="O498"/>
  <c r="U498"/>
  <c r="AW498"/>
  <c r="A499"/>
  <c r="C499"/>
  <c r="U499"/>
  <c r="V499"/>
  <c r="AW499"/>
  <c r="A500"/>
  <c r="C500"/>
  <c r="O500"/>
  <c r="U500"/>
  <c r="AW500"/>
  <c r="A501"/>
  <c r="C501"/>
  <c r="O501"/>
  <c r="U501"/>
  <c r="AW501"/>
  <c r="A502"/>
  <c r="C502"/>
  <c r="O502"/>
  <c r="U502"/>
  <c r="AW502"/>
  <c r="A503"/>
  <c r="C503"/>
  <c r="O503"/>
  <c r="U503"/>
  <c r="AW503"/>
  <c r="A504"/>
  <c r="C504"/>
  <c r="U504"/>
  <c r="V504"/>
  <c r="AW504"/>
  <c r="A505"/>
  <c r="C505"/>
  <c r="O505"/>
  <c r="U505"/>
  <c r="AW505"/>
  <c r="A506"/>
  <c r="C506"/>
  <c r="O506"/>
  <c r="U506"/>
  <c r="AW506"/>
  <c r="A507"/>
  <c r="C507"/>
  <c r="O507"/>
  <c r="U507"/>
  <c r="AW507"/>
  <c r="A508"/>
  <c r="C508"/>
  <c r="O508"/>
  <c r="U508"/>
  <c r="AW508"/>
  <c r="A509"/>
  <c r="C509"/>
  <c r="O509"/>
  <c r="U509"/>
  <c r="AW509"/>
  <c r="A510"/>
  <c r="C510"/>
  <c r="O510"/>
  <c r="U510"/>
  <c r="AW510"/>
  <c r="A511"/>
  <c r="C511"/>
  <c r="O511"/>
  <c r="U511"/>
  <c r="AW511"/>
  <c r="A512"/>
  <c r="C512"/>
  <c r="O512"/>
  <c r="U512"/>
  <c r="AW512"/>
  <c r="A513"/>
  <c r="C513"/>
  <c r="O513"/>
  <c r="U513"/>
  <c r="AW513"/>
  <c r="A514"/>
  <c r="C514"/>
  <c r="U514"/>
  <c r="V514"/>
  <c r="AW514"/>
  <c r="A515"/>
  <c r="C515"/>
  <c r="O515"/>
  <c r="U515"/>
  <c r="AW515"/>
  <c r="A516"/>
  <c r="C516"/>
  <c r="E516"/>
  <c r="O516"/>
  <c r="U516"/>
  <c r="AW516"/>
  <c r="A517"/>
  <c r="C517"/>
  <c r="O517"/>
  <c r="U517"/>
  <c r="AW517"/>
  <c r="A518"/>
  <c r="C518"/>
  <c r="O518"/>
  <c r="U518"/>
  <c r="AW518"/>
  <c r="A519"/>
  <c r="C519"/>
  <c r="O519"/>
  <c r="U519"/>
  <c r="AW519"/>
  <c r="A520"/>
  <c r="C520"/>
  <c r="O520"/>
  <c r="U520"/>
  <c r="AW520"/>
  <c r="A521"/>
  <c r="C521"/>
  <c r="U521"/>
  <c r="V521"/>
  <c r="AW521"/>
  <c r="A522"/>
  <c r="C522"/>
  <c r="O522"/>
  <c r="U522"/>
  <c r="AW522"/>
  <c r="A523"/>
  <c r="C523"/>
  <c r="O523"/>
  <c r="U523"/>
  <c r="AW523"/>
  <c r="A524"/>
  <c r="C524"/>
  <c r="O524"/>
  <c r="U524"/>
  <c r="AW524"/>
  <c r="A525"/>
  <c r="C525"/>
  <c r="O525"/>
  <c r="U525"/>
  <c r="AW525"/>
  <c r="A526"/>
  <c r="C526"/>
  <c r="O526"/>
  <c r="U526"/>
  <c r="AW526"/>
  <c r="A527"/>
  <c r="C527"/>
  <c r="O527"/>
  <c r="U527"/>
  <c r="AW527"/>
  <c r="A528"/>
  <c r="C528"/>
  <c r="U528"/>
  <c r="V528"/>
  <c r="AW528"/>
  <c r="A529"/>
  <c r="C529"/>
  <c r="O529"/>
  <c r="U529"/>
  <c r="AW529"/>
  <c r="A530"/>
  <c r="C530"/>
  <c r="O530"/>
  <c r="U530"/>
  <c r="AW530"/>
  <c r="A531"/>
  <c r="C531"/>
  <c r="O531"/>
  <c r="U531"/>
  <c r="AW531"/>
  <c r="A532"/>
  <c r="C532"/>
  <c r="O532"/>
  <c r="U532"/>
  <c r="AW532"/>
  <c r="A533"/>
  <c r="C533"/>
  <c r="O533"/>
  <c r="U533"/>
  <c r="AW533"/>
  <c r="A534"/>
  <c r="C534"/>
  <c r="O534"/>
  <c r="U534"/>
  <c r="AW534"/>
  <c r="A535"/>
  <c r="C535"/>
  <c r="O535"/>
  <c r="U535"/>
  <c r="AW535"/>
  <c r="A536"/>
  <c r="C536"/>
  <c r="E536"/>
  <c r="O536"/>
  <c r="U536"/>
  <c r="A537"/>
  <c r="C537"/>
  <c r="O537"/>
  <c r="U537"/>
  <c r="AW537"/>
  <c r="A538"/>
  <c r="C538"/>
  <c r="O538"/>
  <c r="U538"/>
  <c r="AW538"/>
  <c r="A539"/>
  <c r="C539"/>
  <c r="O539"/>
  <c r="U539"/>
  <c r="AW539"/>
  <c r="A540"/>
  <c r="C540"/>
  <c r="O540"/>
  <c r="U540"/>
  <c r="V540"/>
  <c r="AW540"/>
  <c r="A541"/>
  <c r="C541"/>
  <c r="O541"/>
  <c r="U541"/>
  <c r="AW541"/>
  <c r="A542"/>
  <c r="C542"/>
  <c r="O542"/>
  <c r="U542"/>
  <c r="AW542"/>
  <c r="A543"/>
  <c r="C543"/>
  <c r="O543"/>
  <c r="U543"/>
  <c r="AW543"/>
  <c r="A544"/>
  <c r="C544"/>
  <c r="O544"/>
  <c r="U544"/>
  <c r="AW544"/>
  <c r="A545"/>
  <c r="C545"/>
  <c r="O545"/>
  <c r="U545"/>
  <c r="AW545"/>
  <c r="A546"/>
  <c r="C546"/>
  <c r="O546"/>
  <c r="U546"/>
  <c r="AW546"/>
  <c r="A547"/>
  <c r="C547"/>
  <c r="O547"/>
  <c r="U547"/>
  <c r="AW547"/>
  <c r="A548"/>
  <c r="C548"/>
  <c r="O548"/>
  <c r="U548"/>
  <c r="AW548"/>
  <c r="A549"/>
  <c r="C549"/>
  <c r="O549"/>
  <c r="U549"/>
  <c r="AW549"/>
  <c r="A550"/>
  <c r="C550"/>
  <c r="O550"/>
  <c r="U550"/>
  <c r="AW550"/>
  <c r="A551"/>
  <c r="C551"/>
  <c r="E551"/>
  <c r="O551"/>
  <c r="U551"/>
  <c r="AW551"/>
  <c r="A552"/>
  <c r="C552"/>
  <c r="O552"/>
  <c r="U552"/>
  <c r="AW552"/>
  <c r="A553"/>
  <c r="C553"/>
  <c r="E553"/>
  <c r="O553"/>
  <c r="U553"/>
  <c r="A554"/>
  <c r="C554"/>
  <c r="E554"/>
  <c r="U554"/>
  <c r="V554"/>
  <c r="AW554"/>
  <c r="A555"/>
  <c r="C555"/>
  <c r="O555"/>
  <c r="U555"/>
  <c r="AW555"/>
  <c r="A556"/>
  <c r="C556"/>
  <c r="O556"/>
  <c r="U556"/>
  <c r="AW556"/>
  <c r="A557"/>
  <c r="C557"/>
  <c r="E557"/>
  <c r="O557"/>
  <c r="U557"/>
  <c r="AW557"/>
  <c r="A558"/>
  <c r="C558"/>
  <c r="U558"/>
  <c r="V558"/>
  <c r="AW558"/>
  <c r="A559"/>
  <c r="C559"/>
  <c r="U559"/>
  <c r="V559"/>
  <c r="AW559"/>
  <c r="A560"/>
  <c r="C560"/>
  <c r="O560"/>
  <c r="U560"/>
  <c r="AW560"/>
  <c r="A561"/>
  <c r="C561"/>
  <c r="O561"/>
  <c r="U561"/>
  <c r="AW561"/>
  <c r="A562"/>
  <c r="C562"/>
  <c r="E562"/>
  <c r="O562"/>
  <c r="U562"/>
  <c r="AW562"/>
  <c r="A563"/>
  <c r="C563"/>
  <c r="U563"/>
  <c r="V563"/>
  <c r="AW563"/>
  <c r="A564"/>
  <c r="C564"/>
  <c r="O564"/>
  <c r="U564"/>
  <c r="AW564"/>
  <c r="A565"/>
  <c r="C565"/>
  <c r="U565"/>
  <c r="V565"/>
  <c r="AW565"/>
  <c r="A566"/>
  <c r="C566"/>
  <c r="O566"/>
  <c r="U566"/>
  <c r="AW566"/>
  <c r="A567"/>
  <c r="C567"/>
  <c r="E567"/>
  <c r="O567"/>
  <c r="U567"/>
  <c r="A568"/>
  <c r="C568"/>
  <c r="E568"/>
  <c r="O568"/>
  <c r="U568"/>
  <c r="AW568"/>
  <c r="A569"/>
  <c r="C569"/>
  <c r="O569"/>
  <c r="U569"/>
  <c r="AW569"/>
  <c r="A570"/>
  <c r="C570"/>
  <c r="E570"/>
  <c r="O570"/>
  <c r="U570"/>
  <c r="A571"/>
  <c r="C571"/>
  <c r="O571"/>
  <c r="U571"/>
  <c r="AW571"/>
  <c r="A572"/>
  <c r="C572"/>
  <c r="O572"/>
  <c r="U572"/>
  <c r="AW572"/>
  <c r="A573"/>
  <c r="C573"/>
  <c r="O573"/>
  <c r="U573"/>
  <c r="AW573"/>
  <c r="A574"/>
  <c r="C574"/>
  <c r="O574"/>
  <c r="U574"/>
  <c r="AW574"/>
  <c r="A575"/>
  <c r="C575"/>
  <c r="U575"/>
  <c r="V575"/>
  <c r="AW575"/>
  <c r="A576"/>
  <c r="C576"/>
  <c r="O576"/>
  <c r="U576"/>
  <c r="AW576"/>
  <c r="A577"/>
  <c r="C577"/>
  <c r="O577"/>
  <c r="U577"/>
  <c r="AW577"/>
  <c r="A578"/>
  <c r="C578"/>
  <c r="O578"/>
  <c r="U578"/>
  <c r="AW578"/>
  <c r="A579"/>
  <c r="C579"/>
  <c r="O579"/>
  <c r="U579"/>
  <c r="AW579"/>
  <c r="A580"/>
  <c r="C580"/>
  <c r="E580"/>
  <c r="O580"/>
  <c r="U580"/>
  <c r="AW580"/>
  <c r="A581"/>
  <c r="C581"/>
  <c r="O581"/>
  <c r="U581"/>
  <c r="AW581"/>
  <c r="A582"/>
  <c r="C582"/>
  <c r="O582"/>
  <c r="U582"/>
  <c r="AW582"/>
  <c r="A583"/>
  <c r="C583"/>
  <c r="O583"/>
  <c r="U583"/>
  <c r="AW583"/>
  <c r="A584"/>
  <c r="C584"/>
  <c r="O584"/>
  <c r="U584"/>
  <c r="AW584"/>
  <c r="A585"/>
  <c r="C585"/>
  <c r="U585"/>
  <c r="V585"/>
  <c r="AW585"/>
  <c r="A586"/>
  <c r="C586"/>
  <c r="O586"/>
  <c r="U586"/>
  <c r="AW586"/>
  <c r="A587"/>
  <c r="C587"/>
  <c r="O587"/>
  <c r="U587"/>
  <c r="AW587"/>
  <c r="A588"/>
  <c r="C588"/>
  <c r="O588"/>
  <c r="U588"/>
  <c r="AW588"/>
  <c r="A589"/>
  <c r="C589"/>
  <c r="O589"/>
  <c r="U589"/>
  <c r="AW589"/>
  <c r="A590"/>
  <c r="C590"/>
  <c r="U590"/>
  <c r="V590"/>
  <c r="AW590"/>
  <c r="A591"/>
  <c r="C591"/>
  <c r="O591"/>
  <c r="U591"/>
  <c r="AW591"/>
  <c r="A592"/>
  <c r="C592"/>
  <c r="O592"/>
  <c r="U592"/>
  <c r="AW592"/>
  <c r="A593"/>
  <c r="C593"/>
  <c r="O593"/>
  <c r="U593"/>
  <c r="AW593"/>
  <c r="A594"/>
  <c r="C594"/>
  <c r="O594"/>
  <c r="U594"/>
  <c r="AW594"/>
  <c r="A595"/>
  <c r="C595"/>
  <c r="O595"/>
  <c r="U595"/>
  <c r="AW595"/>
  <c r="A596"/>
  <c r="C596"/>
  <c r="O596"/>
  <c r="U596"/>
  <c r="AW596"/>
  <c r="A597"/>
  <c r="C597"/>
  <c r="O597"/>
  <c r="U597"/>
  <c r="AW597"/>
  <c r="A598"/>
  <c r="C598"/>
  <c r="O598"/>
  <c r="U598"/>
  <c r="AW598"/>
  <c r="A599"/>
  <c r="C599"/>
  <c r="E599"/>
  <c r="U599"/>
  <c r="V599"/>
  <c r="AW599"/>
  <c r="A600"/>
  <c r="C600"/>
  <c r="O600"/>
  <c r="U600"/>
  <c r="AW600"/>
  <c r="A601"/>
  <c r="C601"/>
  <c r="U601"/>
  <c r="V601"/>
  <c r="AW601"/>
  <c r="A602"/>
  <c r="C602"/>
  <c r="O602"/>
  <c r="U602"/>
  <c r="AW602"/>
  <c r="A603"/>
  <c r="C603"/>
  <c r="O603"/>
  <c r="U603"/>
  <c r="AW603"/>
  <c r="A604"/>
  <c r="C604"/>
  <c r="O604"/>
  <c r="U604"/>
  <c r="AW604"/>
  <c r="A605"/>
  <c r="C605"/>
  <c r="U605"/>
  <c r="V605"/>
  <c r="AW605"/>
  <c r="A606"/>
  <c r="C606"/>
  <c r="O606"/>
  <c r="U606"/>
  <c r="AW606"/>
  <c r="A607"/>
  <c r="C607"/>
  <c r="O607"/>
  <c r="U607"/>
  <c r="AW607"/>
  <c r="A608"/>
  <c r="C608"/>
  <c r="O608"/>
  <c r="U608"/>
  <c r="AW608"/>
  <c r="A609"/>
  <c r="C609"/>
  <c r="O609"/>
  <c r="U609"/>
  <c r="AW609"/>
  <c r="A610"/>
  <c r="C610"/>
  <c r="O610"/>
  <c r="U610"/>
  <c r="AW610"/>
  <c r="A611"/>
  <c r="C611"/>
  <c r="E611"/>
  <c r="O611"/>
  <c r="U611"/>
  <c r="A612"/>
  <c r="C612"/>
  <c r="U612"/>
  <c r="V612"/>
  <c r="AW612"/>
  <c r="A613"/>
  <c r="C613"/>
  <c r="O613"/>
  <c r="U613"/>
  <c r="AW613"/>
  <c r="A614"/>
  <c r="C614"/>
  <c r="U614"/>
  <c r="V614"/>
  <c r="AW614"/>
  <c r="A615"/>
  <c r="C615"/>
  <c r="O615"/>
  <c r="U615"/>
  <c r="AW615"/>
  <c r="A616"/>
  <c r="C616"/>
  <c r="O616"/>
  <c r="U616"/>
  <c r="AW616"/>
  <c r="A617"/>
  <c r="C617"/>
  <c r="O617"/>
  <c r="U617"/>
  <c r="AW617"/>
  <c r="A618"/>
  <c r="C618"/>
  <c r="O618"/>
  <c r="U618"/>
  <c r="AW618"/>
  <c r="A619"/>
  <c r="C619"/>
  <c r="U619"/>
  <c r="V619"/>
  <c r="AW619"/>
  <c r="A620"/>
  <c r="C620"/>
  <c r="O620"/>
  <c r="U620"/>
  <c r="AW620"/>
  <c r="A621"/>
  <c r="C621"/>
  <c r="O621"/>
  <c r="U621"/>
  <c r="AW621"/>
  <c r="A622"/>
  <c r="C622"/>
  <c r="O622"/>
  <c r="U622"/>
  <c r="AW622"/>
  <c r="A623"/>
  <c r="C623"/>
  <c r="O623"/>
  <c r="U623"/>
  <c r="AW623"/>
  <c r="A624"/>
  <c r="C624"/>
  <c r="U624"/>
  <c r="V624"/>
  <c r="AW624"/>
  <c r="A625"/>
  <c r="C625"/>
  <c r="O625"/>
  <c r="U625"/>
  <c r="AW625"/>
  <c r="A626"/>
  <c r="C626"/>
  <c r="O626"/>
  <c r="U626"/>
  <c r="AW626"/>
  <c r="A627"/>
  <c r="C627"/>
  <c r="O627"/>
  <c r="U627"/>
  <c r="AW627"/>
  <c r="A628"/>
  <c r="C628"/>
  <c r="O628"/>
  <c r="U628"/>
  <c r="AW628"/>
  <c r="A629"/>
  <c r="C629"/>
  <c r="U629"/>
  <c r="V629"/>
  <c r="AW629"/>
  <c r="A630"/>
  <c r="C630"/>
  <c r="O630"/>
  <c r="U630"/>
  <c r="AW630"/>
  <c r="A631"/>
  <c r="C631"/>
  <c r="O631"/>
  <c r="U631"/>
  <c r="AW631"/>
  <c r="A632"/>
  <c r="C632"/>
  <c r="O632"/>
  <c r="U632"/>
  <c r="AW632"/>
  <c r="A633"/>
  <c r="C633"/>
  <c r="O633"/>
  <c r="U633"/>
  <c r="AW633"/>
  <c r="A634"/>
  <c r="C634"/>
  <c r="O634"/>
  <c r="U634"/>
  <c r="AW634"/>
  <c r="A635"/>
  <c r="C635"/>
  <c r="O635"/>
  <c r="U635"/>
  <c r="AW635"/>
  <c r="A636"/>
  <c r="C636"/>
  <c r="O636"/>
  <c r="U636"/>
  <c r="AW636"/>
  <c r="A637"/>
  <c r="C637"/>
  <c r="O637"/>
  <c r="U637"/>
  <c r="AW637"/>
  <c r="A638"/>
  <c r="C638"/>
  <c r="E638"/>
  <c r="O638"/>
  <c r="U638"/>
  <c r="AW638"/>
  <c r="A639"/>
  <c r="C639"/>
  <c r="O639"/>
  <c r="U639"/>
  <c r="AW639"/>
  <c r="A640"/>
  <c r="C640"/>
  <c r="O640"/>
  <c r="U640"/>
  <c r="AW640"/>
  <c r="A641"/>
  <c r="C641"/>
  <c r="O641"/>
  <c r="U641"/>
  <c r="AW641"/>
  <c r="A642"/>
  <c r="C642"/>
  <c r="O642"/>
  <c r="U642"/>
  <c r="AW642"/>
  <c r="A643"/>
  <c r="C643"/>
  <c r="O643"/>
  <c r="U643"/>
  <c r="AW643"/>
  <c r="A644"/>
  <c r="C644"/>
  <c r="E644"/>
  <c r="O644"/>
  <c r="U644"/>
  <c r="A645"/>
  <c r="C645"/>
  <c r="O645"/>
  <c r="U645"/>
  <c r="AW645"/>
  <c r="A646"/>
  <c r="C646"/>
  <c r="E646"/>
  <c r="O646"/>
  <c r="U646"/>
  <c r="A647"/>
  <c r="C647"/>
  <c r="O647"/>
  <c r="U647"/>
  <c r="AW647"/>
  <c r="A648"/>
  <c r="C648"/>
  <c r="O648"/>
  <c r="U648"/>
  <c r="AW648"/>
  <c r="A649"/>
  <c r="C649"/>
  <c r="O649"/>
  <c r="U649"/>
  <c r="AW649"/>
  <c r="A650"/>
  <c r="C650"/>
  <c r="O650"/>
  <c r="U650"/>
  <c r="AW650"/>
  <c r="A651"/>
  <c r="C651"/>
  <c r="U651"/>
  <c r="V651"/>
  <c r="AW651"/>
  <c r="A652"/>
  <c r="C652"/>
  <c r="O652"/>
  <c r="U652"/>
  <c r="AW652"/>
  <c r="A653"/>
  <c r="C653"/>
  <c r="O653"/>
  <c r="U653"/>
  <c r="AW653"/>
  <c r="A654"/>
  <c r="C654"/>
  <c r="U654"/>
  <c r="V654"/>
  <c r="AW654"/>
  <c r="A655"/>
  <c r="C655"/>
  <c r="U655"/>
  <c r="V655"/>
  <c r="AW655"/>
  <c r="A656"/>
  <c r="C656"/>
  <c r="O656"/>
  <c r="U656"/>
  <c r="AW656"/>
  <c r="A657"/>
  <c r="C657"/>
  <c r="O657"/>
  <c r="U657"/>
  <c r="AW657"/>
  <c r="A658"/>
  <c r="C658"/>
  <c r="O658"/>
  <c r="U658"/>
  <c r="AW658"/>
  <c r="A659"/>
  <c r="C659"/>
  <c r="O659"/>
  <c r="U659"/>
  <c r="AW659"/>
  <c r="A660"/>
  <c r="C660"/>
  <c r="U660"/>
  <c r="V660"/>
  <c r="AW660"/>
  <c r="A661"/>
  <c r="C661"/>
  <c r="O661"/>
  <c r="U661"/>
  <c r="AW661"/>
  <c r="A662"/>
  <c r="C662"/>
  <c r="E662"/>
  <c r="U662"/>
  <c r="V662"/>
  <c r="AW662"/>
  <c r="A663"/>
  <c r="C663"/>
  <c r="E663"/>
  <c r="O663"/>
  <c r="U663"/>
  <c r="AW663"/>
  <c r="A664"/>
  <c r="C664"/>
  <c r="O664"/>
  <c r="U664"/>
  <c r="AW664"/>
  <c r="A665"/>
  <c r="C665"/>
  <c r="O665"/>
  <c r="U665"/>
  <c r="AW665"/>
  <c r="A666"/>
  <c r="C666"/>
  <c r="E666"/>
  <c r="O666"/>
  <c r="U666"/>
  <c r="AW666"/>
  <c r="A667"/>
  <c r="C667"/>
  <c r="U667"/>
  <c r="V667"/>
  <c r="AW667"/>
  <c r="A668"/>
  <c r="C668"/>
  <c r="O668"/>
  <c r="U668"/>
  <c r="AW668"/>
  <c r="A669"/>
  <c r="C669"/>
  <c r="O669"/>
  <c r="U669"/>
  <c r="AW669"/>
  <c r="A670"/>
  <c r="C670"/>
  <c r="O670"/>
  <c r="U670"/>
  <c r="AW670"/>
  <c r="A671"/>
  <c r="C671"/>
  <c r="O671"/>
  <c r="U671"/>
  <c r="AW671"/>
  <c r="A672"/>
  <c r="C672"/>
  <c r="O672"/>
  <c r="U672"/>
  <c r="AW672"/>
  <c r="A673"/>
  <c r="C673"/>
  <c r="O673"/>
  <c r="U673"/>
  <c r="AW673"/>
  <c r="A674"/>
  <c r="C674"/>
  <c r="O674"/>
  <c r="U674"/>
  <c r="AW674"/>
  <c r="A675"/>
  <c r="C675"/>
  <c r="O675"/>
  <c r="U675"/>
  <c r="AW675"/>
  <c r="A676"/>
  <c r="C676"/>
  <c r="O676"/>
  <c r="U676"/>
  <c r="AW676"/>
  <c r="A677"/>
  <c r="C677"/>
  <c r="O677"/>
  <c r="U677"/>
  <c r="AW677"/>
  <c r="A678"/>
  <c r="C678"/>
  <c r="O678"/>
  <c r="U678"/>
  <c r="AW678"/>
  <c r="A679"/>
  <c r="C679"/>
  <c r="O679"/>
  <c r="U679"/>
  <c r="AW679"/>
  <c r="A680"/>
  <c r="C680"/>
  <c r="O680"/>
  <c r="U680"/>
  <c r="AW680"/>
  <c r="A681"/>
  <c r="C681"/>
  <c r="O681"/>
  <c r="U681"/>
  <c r="AW681"/>
  <c r="A682"/>
  <c r="C682"/>
  <c r="U682"/>
  <c r="V682"/>
  <c r="AW682"/>
  <c r="A683"/>
  <c r="C683"/>
  <c r="O683"/>
  <c r="U683"/>
  <c r="AW683"/>
  <c r="A684"/>
  <c r="C684"/>
  <c r="O684"/>
  <c r="U684"/>
  <c r="AW684"/>
  <c r="A685"/>
  <c r="C685"/>
  <c r="O685"/>
  <c r="U685"/>
  <c r="AW685"/>
  <c r="A686"/>
  <c r="C686"/>
  <c r="O686"/>
  <c r="U686"/>
  <c r="AW686"/>
  <c r="A687"/>
  <c r="C687"/>
  <c r="O687"/>
  <c r="U687"/>
  <c r="AW687"/>
  <c r="A688"/>
  <c r="C688"/>
  <c r="E688"/>
  <c r="O688"/>
  <c r="U688"/>
  <c r="AW688"/>
  <c r="A689"/>
  <c r="C689"/>
  <c r="O689"/>
  <c r="U689"/>
  <c r="AW689"/>
  <c r="A690"/>
  <c r="C690"/>
  <c r="O690"/>
  <c r="U690"/>
  <c r="AW690"/>
  <c r="A691"/>
  <c r="C691"/>
  <c r="O691"/>
  <c r="U691"/>
  <c r="AW691"/>
  <c r="A692"/>
  <c r="C692"/>
  <c r="O692"/>
  <c r="U692"/>
  <c r="AW692"/>
  <c r="A693"/>
  <c r="C693"/>
  <c r="O693"/>
  <c r="U693"/>
  <c r="AW693"/>
  <c r="A694"/>
  <c r="C694"/>
  <c r="U694"/>
  <c r="V694"/>
  <c r="AW694"/>
</calcChain>
</file>

<file path=xl/sharedStrings.xml><?xml version="1.0" encoding="utf-8"?>
<sst xmlns="http://schemas.openxmlformats.org/spreadsheetml/2006/main" count="26778" uniqueCount="8249">
  <si>
    <t>This worksheet includes one table, with columns A through AT. Blank cells within the table indicate that there is no data for that element.  The table includes data, organized by district, such as county and district codes and names.  The table also includes basic information about the district such as address, website, and contacts.</t>
  </si>
  <si>
    <t>New Jersey School Directory</t>
  </si>
  <si>
    <t>Public School Districts</t>
  </si>
  <si>
    <t>County Code</t>
  </si>
  <si>
    <t>County Name</t>
  </si>
  <si>
    <t>District Code</t>
  </si>
  <si>
    <t>District Name</t>
  </si>
  <si>
    <t>Chrt Sch Code</t>
  </si>
  <si>
    <t>Supt. Title</t>
  </si>
  <si>
    <t>Supt. First Name</t>
  </si>
  <si>
    <t>Supt. Last Name</t>
  </si>
  <si>
    <t>Supt. Title 2</t>
  </si>
  <si>
    <t>Supt. EMail</t>
  </si>
  <si>
    <t>Address1</t>
  </si>
  <si>
    <t>Address2</t>
  </si>
  <si>
    <t>City</t>
  </si>
  <si>
    <t>State</t>
  </si>
  <si>
    <t>Zip</t>
  </si>
  <si>
    <t>Mailing Address1</t>
  </si>
  <si>
    <t>Mailing Address2</t>
  </si>
  <si>
    <t>Mailing Address3</t>
  </si>
  <si>
    <t>Mailing City</t>
  </si>
  <si>
    <t>Mailing State</t>
  </si>
  <si>
    <t>Mailing Zip</t>
  </si>
  <si>
    <t>Mailing Zip+4</t>
  </si>
  <si>
    <t>Phone</t>
  </si>
  <si>
    <t>BA Title1</t>
  </si>
  <si>
    <t>BA First Name</t>
  </si>
  <si>
    <t>BA Last Name</t>
  </si>
  <si>
    <t>BA Title2</t>
  </si>
  <si>
    <t>SEC Title1</t>
  </si>
  <si>
    <t>SEC First Name</t>
  </si>
  <si>
    <t>SEC Last Name</t>
  </si>
  <si>
    <t>SEC Title2</t>
  </si>
  <si>
    <t>HIB Title1</t>
  </si>
  <si>
    <t>HIB First Name</t>
  </si>
  <si>
    <t>HIB Last Name</t>
  </si>
  <si>
    <t>HIB Title2</t>
  </si>
  <si>
    <t>State Testing Coor. Title1</t>
  </si>
  <si>
    <t>State Testing Coor. First Name</t>
  </si>
  <si>
    <t>State Testing Coor. Last Name</t>
  </si>
  <si>
    <t>State Testing Coor. Title2</t>
  </si>
  <si>
    <t>PARCC IT Con. Title1</t>
  </si>
  <si>
    <t>PARCC IT Con. First Name</t>
  </si>
  <si>
    <t>PARCC IT Con. Last Name</t>
  </si>
  <si>
    <t>PARCC IT Con. Title2</t>
  </si>
  <si>
    <t>School Safety Specialist Title1</t>
  </si>
  <si>
    <t>School Safety Specialist First Name</t>
  </si>
  <si>
    <t>School Safety Specialist Last Name</t>
  </si>
  <si>
    <t>School Safety Specialist Title2</t>
  </si>
  <si>
    <t>Website</t>
  </si>
  <si>
    <t>NCES ID</t>
  </si>
  <si>
    <t>AGENCY</t>
  </si>
  <si>
    <t>Marie H. Katzenbach School for the Deaf</t>
  </si>
  <si>
    <t>Mrs.</t>
  </si>
  <si>
    <t>Joan</t>
  </si>
  <si>
    <t>Krasnisky</t>
  </si>
  <si>
    <t>Chief School Administrator</t>
  </si>
  <si>
    <t>Joan.Krasnisky@mksd.org</t>
  </si>
  <si>
    <t>320 Sullivan Way</t>
  </si>
  <si>
    <t xml:space="preserve"> </t>
  </si>
  <si>
    <t>Trenton</t>
  </si>
  <si>
    <t>NJ</t>
  </si>
  <si>
    <t>P.O. Box 535</t>
  </si>
  <si>
    <t>609-530-3112</t>
  </si>
  <si>
    <t>Dr.</t>
  </si>
  <si>
    <t>Allwyn</t>
  </si>
  <si>
    <t>Baskin</t>
  </si>
  <si>
    <t>Business Administrator</t>
  </si>
  <si>
    <t>Supervisor of Special Education Services</t>
  </si>
  <si>
    <t>Ms.</t>
  </si>
  <si>
    <t>Lauren</t>
  </si>
  <si>
    <t>Boose</t>
  </si>
  <si>
    <t>Anti-Bullying Coordinator</t>
  </si>
  <si>
    <t>Krista</t>
  </si>
  <si>
    <t>Bruehl</t>
  </si>
  <si>
    <t>Dist. Coordinator of State Testing</t>
  </si>
  <si>
    <t>Mr.</t>
  </si>
  <si>
    <t>Stephen</t>
  </si>
  <si>
    <t>Rotzko</t>
  </si>
  <si>
    <t>LEA Assessment IT Contact</t>
  </si>
  <si>
    <t>Kathryn</t>
  </si>
  <si>
    <t>Schreiber</t>
  </si>
  <si>
    <t>School Safety Specialist</t>
  </si>
  <si>
    <t>www.mksd.org</t>
  </si>
  <si>
    <t>ATLANTIC</t>
  </si>
  <si>
    <t>Absecon Public Schools District</t>
  </si>
  <si>
    <t>Daniel</t>
  </si>
  <si>
    <t>Dooley</t>
  </si>
  <si>
    <t>Superintendent</t>
  </si>
  <si>
    <t>ddooley@abseconschools.org</t>
  </si>
  <si>
    <t>800 Irelan Avenue</t>
  </si>
  <si>
    <t>Absecon</t>
  </si>
  <si>
    <t>609-641-5375 x1012</t>
  </si>
  <si>
    <t>Tina</t>
  </si>
  <si>
    <t>Maruca</t>
  </si>
  <si>
    <t>Lindsay</t>
  </si>
  <si>
    <t>Reed</t>
  </si>
  <si>
    <t>Director of Special Education</t>
  </si>
  <si>
    <t>https://www.abseconschools.org/</t>
  </si>
  <si>
    <t>Atlantic City School District</t>
  </si>
  <si>
    <t>Barry</t>
  </si>
  <si>
    <t>Caldwell</t>
  </si>
  <si>
    <t>bcaldwell@acboe.org</t>
  </si>
  <si>
    <t>1300 Atlantic Avenue</t>
  </si>
  <si>
    <t>Citi Center 5th Floor</t>
  </si>
  <si>
    <t>Atlantic City</t>
  </si>
  <si>
    <t>Citi Center</t>
  </si>
  <si>
    <t>5th Floor</t>
  </si>
  <si>
    <t>609-343-7200 X5003</t>
  </si>
  <si>
    <t>Celeste</t>
  </si>
  <si>
    <t>Ricketts</t>
  </si>
  <si>
    <t>School Business Administrator</t>
  </si>
  <si>
    <t>Pamela</t>
  </si>
  <si>
    <t>Hennelly</t>
  </si>
  <si>
    <t>Director of Student Personnel Services</t>
  </si>
  <si>
    <t>Michelle</t>
  </si>
  <si>
    <t>Farrell</t>
  </si>
  <si>
    <t>Tracy</t>
  </si>
  <si>
    <t>Slattery</t>
  </si>
  <si>
    <t>Michael</t>
  </si>
  <si>
    <t>Bird</t>
  </si>
  <si>
    <t>Atiba</t>
  </si>
  <si>
    <t>Rose</t>
  </si>
  <si>
    <t>http://www.acboe.org</t>
  </si>
  <si>
    <t>Atlantic Community Charter School</t>
  </si>
  <si>
    <t>Edmund</t>
  </si>
  <si>
    <t>Cetrullo</t>
  </si>
  <si>
    <t>Lead of Charter School</t>
  </si>
  <si>
    <t>ecetrullo@atlanticcommunitycharter.com</t>
  </si>
  <si>
    <t>112 South New York Rd.</t>
  </si>
  <si>
    <t>Galloway</t>
  </si>
  <si>
    <t>609-428-4300</t>
  </si>
  <si>
    <t>Donella</t>
  </si>
  <si>
    <t>Edwards</t>
  </si>
  <si>
    <t>B. A. / Board Secretary</t>
  </si>
  <si>
    <t>Steve</t>
  </si>
  <si>
    <t>DiMatteo</t>
  </si>
  <si>
    <t>Bob</t>
  </si>
  <si>
    <t>Parsons</t>
  </si>
  <si>
    <t>Sharon</t>
  </si>
  <si>
    <t>Mauriello</t>
  </si>
  <si>
    <t>https://www.atlanticcommunitycharter.com</t>
  </si>
  <si>
    <t>Atlantic County Special Services School District</t>
  </si>
  <si>
    <t>Philip</t>
  </si>
  <si>
    <t>Guenther</t>
  </si>
  <si>
    <t>pguenther@acitech.org</t>
  </si>
  <si>
    <t>4805 Nawakwa Boulevard</t>
  </si>
  <si>
    <t>Mays Landing</t>
  </si>
  <si>
    <t>609-625-5796</t>
  </si>
  <si>
    <t>Lisa</t>
  </si>
  <si>
    <t>Mooney</t>
  </si>
  <si>
    <t>Kerri</t>
  </si>
  <si>
    <t>McGinley</t>
  </si>
  <si>
    <t>Assistant Superintendent</t>
  </si>
  <si>
    <t>Jennifer</t>
  </si>
  <si>
    <t>Cruickshank</t>
  </si>
  <si>
    <t>www.acsssd.net</t>
  </si>
  <si>
    <t>Atlantic County Vocational School District</t>
  </si>
  <si>
    <t>5080 Atlantic Avenue</t>
  </si>
  <si>
    <t>609-625-2249 x1000</t>
  </si>
  <si>
    <t>Flynn</t>
  </si>
  <si>
    <t>Suzanne</t>
  </si>
  <si>
    <t>Pulman</t>
  </si>
  <si>
    <t>Erin</t>
  </si>
  <si>
    <t>Neyer</t>
  </si>
  <si>
    <t>Anthony</t>
  </si>
  <si>
    <t>Volpe</t>
  </si>
  <si>
    <t>www.acitech.org</t>
  </si>
  <si>
    <t>Brigantine Public School District</t>
  </si>
  <si>
    <t>Glenn</t>
  </si>
  <si>
    <t>Robbins</t>
  </si>
  <si>
    <t>grobbins@brigantineschools.org</t>
  </si>
  <si>
    <t>301 East Evans Boulevard</t>
  </si>
  <si>
    <t xml:space="preserve">PO Box 947 </t>
  </si>
  <si>
    <t>Brigantine</t>
  </si>
  <si>
    <t>PO Box 947</t>
  </si>
  <si>
    <t>609-266-7671</t>
  </si>
  <si>
    <t>Jonathan</t>
  </si>
  <si>
    <t>Houdart</t>
  </si>
  <si>
    <t>Glick</t>
  </si>
  <si>
    <t>Special Ed. Coordinator</t>
  </si>
  <si>
    <t>James</t>
  </si>
  <si>
    <t>Wilkinson</t>
  </si>
  <si>
    <t>Bonnie</t>
  </si>
  <si>
    <t>Marino</t>
  </si>
  <si>
    <t>Kathy</t>
  </si>
  <si>
    <t>Fox</t>
  </si>
  <si>
    <t>www.brigantineschools.org</t>
  </si>
  <si>
    <t>Buena Regional School District</t>
  </si>
  <si>
    <t>David</t>
  </si>
  <si>
    <t>Cappuccio</t>
  </si>
  <si>
    <t>dcappuccio@buena.k12.nj.us</t>
  </si>
  <si>
    <t>914 MAIN AVENUE</t>
  </si>
  <si>
    <t>RICHLAND</t>
  </si>
  <si>
    <t>PO BOX 309</t>
  </si>
  <si>
    <t>BUENA</t>
  </si>
  <si>
    <t>856-697-0800</t>
  </si>
  <si>
    <t>Pasquale</t>
  </si>
  <si>
    <t>Yacovelli</t>
  </si>
  <si>
    <t>Jaqueline</t>
  </si>
  <si>
    <t>Kulinski</t>
  </si>
  <si>
    <t>Gerri</t>
  </si>
  <si>
    <t>Turner</t>
  </si>
  <si>
    <t>Courtney</t>
  </si>
  <si>
    <t>McNeely</t>
  </si>
  <si>
    <t>Matt</t>
  </si>
  <si>
    <t>Schleicher</t>
  </si>
  <si>
    <t>Leonard</t>
  </si>
  <si>
    <t>Long</t>
  </si>
  <si>
    <t>www.buenaschools.org</t>
  </si>
  <si>
    <t>Chartertech High School for the Performing Arts</t>
  </si>
  <si>
    <t>Brian</t>
  </si>
  <si>
    <t>McGuire</t>
  </si>
  <si>
    <t>bmcguire@chartertech.org</t>
  </si>
  <si>
    <t>413 New Rd.</t>
  </si>
  <si>
    <t>Somers Point</t>
  </si>
  <si>
    <t>609-926-7694 x145</t>
  </si>
  <si>
    <t>Jill</t>
  </si>
  <si>
    <t>Carson</t>
  </si>
  <si>
    <t>Cori</t>
  </si>
  <si>
    <t>Randolph</t>
  </si>
  <si>
    <t>Lee</t>
  </si>
  <si>
    <t>Richard</t>
  </si>
  <si>
    <t>Fognano</t>
  </si>
  <si>
    <t>www.chartertech.org</t>
  </si>
  <si>
    <t>Corbin City School District</t>
  </si>
  <si>
    <t>None</t>
  </si>
  <si>
    <t>non-op district</t>
  </si>
  <si>
    <t>501 Atlantic Ave., Suite 1</t>
  </si>
  <si>
    <t xml:space="preserve">c/o Ocean City BOE </t>
  </si>
  <si>
    <t>Ocean City</t>
  </si>
  <si>
    <t>c/o Ocean City BOE</t>
  </si>
  <si>
    <t>Patricia</t>
  </si>
  <si>
    <t>Swanson</t>
  </si>
  <si>
    <t>www.ci.corbincity.nj.us</t>
  </si>
  <si>
    <t>Egg Harbor City School District</t>
  </si>
  <si>
    <t>Adrienne</t>
  </si>
  <si>
    <t>Shulby</t>
  </si>
  <si>
    <t>ashulby@eggharborcityschools.com</t>
  </si>
  <si>
    <t>730 Havana Avenue</t>
  </si>
  <si>
    <t>Egg Harbor City</t>
  </si>
  <si>
    <t>609-965-1034 x165</t>
  </si>
  <si>
    <t>Jason</t>
  </si>
  <si>
    <t>Bedell</t>
  </si>
  <si>
    <t>Gina</t>
  </si>
  <si>
    <t>Forester</t>
  </si>
  <si>
    <t>Connelly</t>
  </si>
  <si>
    <t>Gross</t>
  </si>
  <si>
    <t>www.eggharborcityschools.com</t>
  </si>
  <si>
    <t>Egg Harbor Township School District</t>
  </si>
  <si>
    <t>Kimberly</t>
  </si>
  <si>
    <t>Gruccio</t>
  </si>
  <si>
    <t>gruccik@eht.k12.nj.us</t>
  </si>
  <si>
    <t>13 Swift Drive</t>
  </si>
  <si>
    <t>Egg Harbor Township</t>
  </si>
  <si>
    <t>609-646-7911 x 1000</t>
  </si>
  <si>
    <t>Chandra</t>
  </si>
  <si>
    <t>Anaya</t>
  </si>
  <si>
    <t>Ray</t>
  </si>
  <si>
    <t>Dorso</t>
  </si>
  <si>
    <t>Santilli</t>
  </si>
  <si>
    <t>Samantha</t>
  </si>
  <si>
    <t>Elko</t>
  </si>
  <si>
    <t>www.eht.k12.nj.us</t>
  </si>
  <si>
    <t>Estell Manor School District</t>
  </si>
  <si>
    <t>Dianna</t>
  </si>
  <si>
    <t>Abraham</t>
  </si>
  <si>
    <t>dabraham@estellmanorschool.com</t>
  </si>
  <si>
    <t>128 Cape May Avenue</t>
  </si>
  <si>
    <t>Estell Manor</t>
  </si>
  <si>
    <t>08319-1735</t>
  </si>
  <si>
    <t>609-476-2267</t>
  </si>
  <si>
    <t>William</t>
  </si>
  <si>
    <t>Thompson</t>
  </si>
  <si>
    <t>Joelle</t>
  </si>
  <si>
    <t>Teneglia</t>
  </si>
  <si>
    <t>Tamara</t>
  </si>
  <si>
    <t>Schoenborn</t>
  </si>
  <si>
    <t>www.estellmanorschool.com</t>
  </si>
  <si>
    <t>Folsom Borough School District</t>
  </si>
  <si>
    <t>Matthew</t>
  </si>
  <si>
    <t>Mazzoni</t>
  </si>
  <si>
    <t>mmazzoni@folsomschool.org</t>
  </si>
  <si>
    <t>1357 Mays Landing Road</t>
  </si>
  <si>
    <t>Folsom</t>
  </si>
  <si>
    <t>609-561-8666 x111</t>
  </si>
  <si>
    <t>Christopher</t>
  </si>
  <si>
    <t>Veneziani</t>
  </si>
  <si>
    <t>Amanda</t>
  </si>
  <si>
    <t>Petersen</t>
  </si>
  <si>
    <t>Michele</t>
  </si>
  <si>
    <t>Hetzel</t>
  </si>
  <si>
    <t>Patrick</t>
  </si>
  <si>
    <t>Ward</t>
  </si>
  <si>
    <t>http://www.folsomschool.org/</t>
  </si>
  <si>
    <t>Galloway Township Public School District</t>
  </si>
  <si>
    <t>Annette</t>
  </si>
  <si>
    <t>Giaquinto</t>
  </si>
  <si>
    <t>giaquintoa@gtps.k12.nj.us</t>
  </si>
  <si>
    <t>101 S REEDS ROAD</t>
  </si>
  <si>
    <t>GALLOWAY</t>
  </si>
  <si>
    <t>609-748-1250 x 1016</t>
  </si>
  <si>
    <t>Joy</t>
  </si>
  <si>
    <t>Nixon</t>
  </si>
  <si>
    <t>Baldwin</t>
  </si>
  <si>
    <t>Christine</t>
  </si>
  <si>
    <t>Burgess</t>
  </si>
  <si>
    <t>Betty</t>
  </si>
  <si>
    <t>Napoli</t>
  </si>
  <si>
    <t>Gary</t>
  </si>
  <si>
    <t>Kirschenmann</t>
  </si>
  <si>
    <t>WWW.GTPS.K12.NJ.US</t>
  </si>
  <si>
    <t>Greater Egg Harbor Regional High School District</t>
  </si>
  <si>
    <t>Reina</t>
  </si>
  <si>
    <t>jreina@gehrhsd.net</t>
  </si>
  <si>
    <t>1824 Dr. Dennis Foreman Dr.</t>
  </si>
  <si>
    <t>08330-2640</t>
  </si>
  <si>
    <t>609-625-1456</t>
  </si>
  <si>
    <t>Thomas</t>
  </si>
  <si>
    <t>Grossi</t>
  </si>
  <si>
    <t>Meg</t>
  </si>
  <si>
    <t>Gawalis</t>
  </si>
  <si>
    <t>Brenda</t>
  </si>
  <si>
    <t>Callaghan</t>
  </si>
  <si>
    <t>Berret</t>
  </si>
  <si>
    <t>www.gehrhsd.net</t>
  </si>
  <si>
    <t>Hamilton Township School District</t>
  </si>
  <si>
    <t>John</t>
  </si>
  <si>
    <t>Scavelli</t>
  </si>
  <si>
    <t>scavellij@hamiltonschools.org</t>
  </si>
  <si>
    <t>1876 DR. DENNIS FOREMAN DR.</t>
  </si>
  <si>
    <t>MAYS LANDING</t>
  </si>
  <si>
    <t>609-476-6300</t>
  </si>
  <si>
    <t>Anne-Marie</t>
  </si>
  <si>
    <t>Fala</t>
  </si>
  <si>
    <t>Marylynn</t>
  </si>
  <si>
    <t>Stecher</t>
  </si>
  <si>
    <t>Jeff</t>
  </si>
  <si>
    <t>Wellington</t>
  </si>
  <si>
    <t>Ramona</t>
  </si>
  <si>
    <t>Bregatta</t>
  </si>
  <si>
    <t>Poretto</t>
  </si>
  <si>
    <t>Colin</t>
  </si>
  <si>
    <t>Hickey</t>
  </si>
  <si>
    <t>www.hamiltonschools.org</t>
  </si>
  <si>
    <t>Hammonton School District</t>
  </si>
  <si>
    <t>Robin</t>
  </si>
  <si>
    <t>Chieco</t>
  </si>
  <si>
    <t>rchieco@hammontonps.org</t>
  </si>
  <si>
    <t>566 Old Forks Road</t>
  </si>
  <si>
    <t>Hammonton</t>
  </si>
  <si>
    <t>609-567-7000 x373</t>
  </si>
  <si>
    <t>Barbara</t>
  </si>
  <si>
    <t>Prettyman</t>
  </si>
  <si>
    <t>DeNafo</t>
  </si>
  <si>
    <t>Tammy</t>
  </si>
  <si>
    <t>Ryan</t>
  </si>
  <si>
    <t>Joseph</t>
  </si>
  <si>
    <t>Martino</t>
  </si>
  <si>
    <t>www.hammontonps.org</t>
  </si>
  <si>
    <t>Linwood City School District</t>
  </si>
  <si>
    <t>Pruitt</t>
  </si>
  <si>
    <t>brianpruitt@linwoodschools.org</t>
  </si>
  <si>
    <t>51 Belhaven Avenue</t>
  </si>
  <si>
    <t>Linwood</t>
  </si>
  <si>
    <t>609-926-6700</t>
  </si>
  <si>
    <t>Kevin</t>
  </si>
  <si>
    <t>Byrnes</t>
  </si>
  <si>
    <t>Susann</t>
  </si>
  <si>
    <t>Tahsin</t>
  </si>
  <si>
    <t>Nicole</t>
  </si>
  <si>
    <t>Sapello</t>
  </si>
  <si>
    <t>Frank</t>
  </si>
  <si>
    <t>Pileiro</t>
  </si>
  <si>
    <t>www.linwoodschools.org</t>
  </si>
  <si>
    <t>Longport Board of Education</t>
  </si>
  <si>
    <t>Not applicable</t>
  </si>
  <si>
    <t>Non Operating</t>
  </si>
  <si>
    <t>longportboe@gmail.com</t>
  </si>
  <si>
    <t>2305 Atlantic Avenue</t>
  </si>
  <si>
    <t>Longport</t>
  </si>
  <si>
    <t>609-601-1631</t>
  </si>
  <si>
    <t>Teri</t>
  </si>
  <si>
    <t>Weeks</t>
  </si>
  <si>
    <t>Acting Spec. Ed. Coordinator</t>
  </si>
  <si>
    <t>Not Applicable</t>
  </si>
  <si>
    <t>No Operating</t>
  </si>
  <si>
    <t>Non-Operaring</t>
  </si>
  <si>
    <t>none</t>
  </si>
  <si>
    <t>Mainland Regional High School</t>
  </si>
  <si>
    <t>MARK</t>
  </si>
  <si>
    <t>MARRONE</t>
  </si>
  <si>
    <t>MMARRONE@MAINLANDREGIONAL.NET</t>
  </si>
  <si>
    <t>1301 OAK AVENUE</t>
  </si>
  <si>
    <t>LINWOOD</t>
  </si>
  <si>
    <t>609-927-2461</t>
  </si>
  <si>
    <t>Kim</t>
  </si>
  <si>
    <t>Robinson</t>
  </si>
  <si>
    <t>Jo-Anne</t>
  </si>
  <si>
    <t>Goldberg</t>
  </si>
  <si>
    <t>Spagone</t>
  </si>
  <si>
    <t>DORSEY</t>
  </si>
  <si>
    <t>FINN</t>
  </si>
  <si>
    <t>Mark</t>
  </si>
  <si>
    <t>MAINLANDREGIONAL.NET</t>
  </si>
  <si>
    <t>Margate City School District</t>
  </si>
  <si>
    <t>Baruffi</t>
  </si>
  <si>
    <t>Interim Superintendent</t>
  </si>
  <si>
    <t>tbaruffi@margateschools.org</t>
  </si>
  <si>
    <t>8103 Winchester Avenue</t>
  </si>
  <si>
    <t>Margate</t>
  </si>
  <si>
    <t>609-822-1686 x366</t>
  </si>
  <si>
    <t>Germana</t>
  </si>
  <si>
    <t>Gaskill</t>
  </si>
  <si>
    <t>Director of Child Study Team</t>
  </si>
  <si>
    <t>Laureen</t>
  </si>
  <si>
    <t>Cohen</t>
  </si>
  <si>
    <t>Mike</t>
  </si>
  <si>
    <t>Morris</t>
  </si>
  <si>
    <t>www.margateschools.org</t>
  </si>
  <si>
    <t>Mullica Township School District</t>
  </si>
  <si>
    <t>Andrew</t>
  </si>
  <si>
    <t>Weber</t>
  </si>
  <si>
    <t>aweber@mullicaschools.com</t>
  </si>
  <si>
    <t>500 Elwood Road</t>
  </si>
  <si>
    <t>Elwood</t>
  </si>
  <si>
    <t>PO Box 318</t>
  </si>
  <si>
    <t>609-561-3868 x120</t>
  </si>
  <si>
    <t>Karen</t>
  </si>
  <si>
    <t>Gfroehrer</t>
  </si>
  <si>
    <t>Nellie</t>
  </si>
  <si>
    <t>Aponte</t>
  </si>
  <si>
    <t>Child Study Team Chairperson</t>
  </si>
  <si>
    <t>Maris</t>
  </si>
  <si>
    <t>Lynn</t>
  </si>
  <si>
    <t>Scott</t>
  </si>
  <si>
    <t>Sarraiocco</t>
  </si>
  <si>
    <t>Irwin</t>
  </si>
  <si>
    <t>www.mullicaschools.com</t>
  </si>
  <si>
    <t>Northfield City School District</t>
  </si>
  <si>
    <t>Pedro</t>
  </si>
  <si>
    <t>Bretones</t>
  </si>
  <si>
    <t>pbretones@ncs-nj.org</t>
  </si>
  <si>
    <t>2000 New Road</t>
  </si>
  <si>
    <t>Northfield</t>
  </si>
  <si>
    <t>609-407-4004</t>
  </si>
  <si>
    <t>Linda</t>
  </si>
  <si>
    <t>Albright</t>
  </si>
  <si>
    <t>Cynthia</t>
  </si>
  <si>
    <t>Hegeman</t>
  </si>
  <si>
    <t>Morrison</t>
  </si>
  <si>
    <t>Janice</t>
  </si>
  <si>
    <t>Dye</t>
  </si>
  <si>
    <t>Wilson</t>
  </si>
  <si>
    <t>www.ncs-nj.org</t>
  </si>
  <si>
    <t>Pleasantville Public School District</t>
  </si>
  <si>
    <t>Natakie</t>
  </si>
  <si>
    <t>Chestnut-Lee</t>
  </si>
  <si>
    <t>chestnut-lee.natakie@pps-nj.us</t>
  </si>
  <si>
    <t>801 Mill Road</t>
  </si>
  <si>
    <t>Pleasantville</t>
  </si>
  <si>
    <t>609-383-6800 X 2506</t>
  </si>
  <si>
    <t>Daile</t>
  </si>
  <si>
    <t>White</t>
  </si>
  <si>
    <t>KAREN</t>
  </si>
  <si>
    <t>FARKAS</t>
  </si>
  <si>
    <t>Karyn</t>
  </si>
  <si>
    <t>Hannigan</t>
  </si>
  <si>
    <t>RYAN</t>
  </si>
  <si>
    <t>Samaroo</t>
  </si>
  <si>
    <t>http://www.pps-nj.us/pps/</t>
  </si>
  <si>
    <t>Port Republic School District</t>
  </si>
  <si>
    <t>London</t>
  </si>
  <si>
    <t>blondon@portnj.org</t>
  </si>
  <si>
    <t>137 Pomona Avenue</t>
  </si>
  <si>
    <t>Port Republic</t>
  </si>
  <si>
    <t>609-652-7377</t>
  </si>
  <si>
    <t>Todd</t>
  </si>
  <si>
    <t>D'Anna</t>
  </si>
  <si>
    <t>DiDonato</t>
  </si>
  <si>
    <t>Helene</t>
  </si>
  <si>
    <t>www.portnj.org</t>
  </si>
  <si>
    <t>Principle Academy Charter School</t>
  </si>
  <si>
    <t>Alvaro</t>
  </si>
  <si>
    <t>Cores</t>
  </si>
  <si>
    <t>alvarocores@principleacademycharter.org</t>
  </si>
  <si>
    <t>6718 Black Horse Pike</t>
  </si>
  <si>
    <t xml:space="preserve">Suite 16 </t>
  </si>
  <si>
    <t>Suite 16</t>
  </si>
  <si>
    <t>609-498-6350</t>
  </si>
  <si>
    <t>Falkowski</t>
  </si>
  <si>
    <t>Ethel</t>
  </si>
  <si>
    <t>Lippman</t>
  </si>
  <si>
    <t>Georgette</t>
  </si>
  <si>
    <t>Meister</t>
  </si>
  <si>
    <t>Dionne</t>
  </si>
  <si>
    <t>www.principleacademycharter.org</t>
  </si>
  <si>
    <t>Somers Point School District</t>
  </si>
  <si>
    <t>CarneyRay-Yoder</t>
  </si>
  <si>
    <t>mcarneyray-yoder@sptsd.org</t>
  </si>
  <si>
    <t>121 W. New York Avenue</t>
  </si>
  <si>
    <t>08244-1408</t>
  </si>
  <si>
    <t>609-927-2053 x3211</t>
  </si>
  <si>
    <t>Roemer</t>
  </si>
  <si>
    <t>Annemarie</t>
  </si>
  <si>
    <t>Wagner-Fehn</t>
  </si>
  <si>
    <t>Kaas</t>
  </si>
  <si>
    <t>Straka</t>
  </si>
  <si>
    <t>Timothy</t>
  </si>
  <si>
    <t>Williams</t>
  </si>
  <si>
    <t>www.sptsd.org</t>
  </si>
  <si>
    <t>Ventnor City School District</t>
  </si>
  <si>
    <t>Carmela</t>
  </si>
  <si>
    <t>Somershoe</t>
  </si>
  <si>
    <t>csomershoe@veccnj.org</t>
  </si>
  <si>
    <t>400 N. Lafayette Avenue</t>
  </si>
  <si>
    <t>Ventnor City</t>
  </si>
  <si>
    <t>609-487-7900 x5100</t>
  </si>
  <si>
    <t>Terri</t>
  </si>
  <si>
    <t>Nowotny</t>
  </si>
  <si>
    <t>Alison</t>
  </si>
  <si>
    <t>Ricciotti</t>
  </si>
  <si>
    <t>Jenna</t>
  </si>
  <si>
    <t>Polise</t>
  </si>
  <si>
    <t>Spencer</t>
  </si>
  <si>
    <t>www.veccnj.org</t>
  </si>
  <si>
    <t>Weymouth Township School District</t>
  </si>
  <si>
    <t>Mary Lou</t>
  </si>
  <si>
    <t>DeFrancisco</t>
  </si>
  <si>
    <t>defrancisco@weymouthtsd.org</t>
  </si>
  <si>
    <t>1202 Eleventh Avenue</t>
  </si>
  <si>
    <t>Dorothy</t>
  </si>
  <si>
    <t>609-476-2412</t>
  </si>
  <si>
    <t>Steven</t>
  </si>
  <si>
    <t>Moran</t>
  </si>
  <si>
    <t>Maria</t>
  </si>
  <si>
    <t>Palmieri</t>
  </si>
  <si>
    <t>Fullmer</t>
  </si>
  <si>
    <t>Dan</t>
  </si>
  <si>
    <t>Henderson</t>
  </si>
  <si>
    <t>Susan</t>
  </si>
  <si>
    <t>Wolfe</t>
  </si>
  <si>
    <t>www.weymouthtownshipschool.com</t>
  </si>
  <si>
    <t>BERGEN</t>
  </si>
  <si>
    <t>Allendale Public School District</t>
  </si>
  <si>
    <t>Barcadepone</t>
  </si>
  <si>
    <t>mbarcadepone@allendalek8.com</t>
  </si>
  <si>
    <t>100 Brookside Avenue</t>
  </si>
  <si>
    <t>Allendale</t>
  </si>
  <si>
    <t>201-327-2020 x1306</t>
  </si>
  <si>
    <t>Engeleit</t>
  </si>
  <si>
    <t>Goodell</t>
  </si>
  <si>
    <t>Catherine</t>
  </si>
  <si>
    <t>Danahy</t>
  </si>
  <si>
    <t>Paul</t>
  </si>
  <si>
    <t>Gomez</t>
  </si>
  <si>
    <t>www.allendalek8.com</t>
  </si>
  <si>
    <t>Alpine School District</t>
  </si>
  <si>
    <t>Maureen</t>
  </si>
  <si>
    <t>McCann</t>
  </si>
  <si>
    <t>McCann@alpineschool.org</t>
  </si>
  <si>
    <t>500 Hillside Ave.</t>
  </si>
  <si>
    <t>Alpine</t>
  </si>
  <si>
    <t>07620-1038</t>
  </si>
  <si>
    <t>201-768-8255  x1111</t>
  </si>
  <si>
    <t>Olga</t>
  </si>
  <si>
    <t>Yarmolina</t>
  </si>
  <si>
    <t>Grinkin</t>
  </si>
  <si>
    <t>Lockwood</t>
  </si>
  <si>
    <t>Sean</t>
  </si>
  <si>
    <t>Brophy</t>
  </si>
  <si>
    <t>www.alpineschool.org</t>
  </si>
  <si>
    <t>Bergen Arts and Science Charter School</t>
  </si>
  <si>
    <t>NIHAT</t>
  </si>
  <si>
    <t>GUVERCIN</t>
  </si>
  <si>
    <t>nguvercin@ilearnschools.org</t>
  </si>
  <si>
    <t>200 MacArthur Ave</t>
  </si>
  <si>
    <t>Garfield</t>
  </si>
  <si>
    <t>33-00 Broadway</t>
  </si>
  <si>
    <t>Suite 301</t>
  </si>
  <si>
    <t>Fair Lawn</t>
  </si>
  <si>
    <t>201-773-9140</t>
  </si>
  <si>
    <t>Mustafa</t>
  </si>
  <si>
    <t>Coban</t>
  </si>
  <si>
    <t>Ashya</t>
  </si>
  <si>
    <t>Porter</t>
  </si>
  <si>
    <t>Director of Student Services</t>
  </si>
  <si>
    <t>Murtaza</t>
  </si>
  <si>
    <t>Ozdemir</t>
  </si>
  <si>
    <t>Leo</t>
  </si>
  <si>
    <t>www.bergencharter.org</t>
  </si>
  <si>
    <t>Bergen County Special Services School District</t>
  </si>
  <si>
    <t>Howard</t>
  </si>
  <si>
    <t>Lerner</t>
  </si>
  <si>
    <t>howler@bergen.org</t>
  </si>
  <si>
    <t>540 Farview Avenue</t>
  </si>
  <si>
    <t>Paramus</t>
  </si>
  <si>
    <t>201-343-6000 x4005</t>
  </si>
  <si>
    <t>Susino</t>
  </si>
  <si>
    <t>Mitchell</t>
  </si>
  <si>
    <t>Badiner</t>
  </si>
  <si>
    <t>Cosgrove</t>
  </si>
  <si>
    <t>Obojkovits</t>
  </si>
  <si>
    <t>Becker</t>
  </si>
  <si>
    <t>bcss.bergen.org</t>
  </si>
  <si>
    <t>Bergen County Vocational Technical School District</t>
  </si>
  <si>
    <t>Andrea</t>
  </si>
  <si>
    <t>Sheridan</t>
  </si>
  <si>
    <t>bcts.bergen.org</t>
  </si>
  <si>
    <t>Bergenfield Borough School District</t>
  </si>
  <si>
    <t>Tully</t>
  </si>
  <si>
    <t>ctully@bergenfield.org</t>
  </si>
  <si>
    <t>225 W. Clinton Avenue</t>
  </si>
  <si>
    <t>Bergenfield</t>
  </si>
  <si>
    <t>201-385-8202</t>
  </si>
  <si>
    <t>Acting Business Administrator</t>
  </si>
  <si>
    <t>Lorry</t>
  </si>
  <si>
    <t>Booth</t>
  </si>
  <si>
    <t>Jacqueline</t>
  </si>
  <si>
    <t>Gagliardo</t>
  </si>
  <si>
    <t>Ligia</t>
  </si>
  <si>
    <t>Alberto</t>
  </si>
  <si>
    <t>Blackowski</t>
  </si>
  <si>
    <t>www.bergenfield.org</t>
  </si>
  <si>
    <t>Bogota Public School District</t>
  </si>
  <si>
    <t>Damian</t>
  </si>
  <si>
    <t>Kennedy</t>
  </si>
  <si>
    <t>dkennedy@bogotaboe.com</t>
  </si>
  <si>
    <t>1 Henry C. Luthin Place</t>
  </si>
  <si>
    <t>Bogota</t>
  </si>
  <si>
    <t>201-441-4800 x 1001</t>
  </si>
  <si>
    <t>Irfan</t>
  </si>
  <si>
    <t>Evcil</t>
  </si>
  <si>
    <t>Connolly</t>
  </si>
  <si>
    <t>Calero</t>
  </si>
  <si>
    <t>Samuel</t>
  </si>
  <si>
    <t>Chiang</t>
  </si>
  <si>
    <t>www.bogotaboe.com</t>
  </si>
  <si>
    <t>Carlstadt PublicSchool District</t>
  </si>
  <si>
    <t>Kollinok</t>
  </si>
  <si>
    <t>skollinok@carlstadtps.org</t>
  </si>
  <si>
    <t>550 WASHINGTON STREET</t>
  </si>
  <si>
    <t>CARLSTADT</t>
  </si>
  <si>
    <t>201-672-3000 x3104</t>
  </si>
  <si>
    <t>Megan</t>
  </si>
  <si>
    <t>Slamb</t>
  </si>
  <si>
    <t>Diana</t>
  </si>
  <si>
    <t>Silva</t>
  </si>
  <si>
    <t>Kelly</t>
  </si>
  <si>
    <t>Schroback</t>
  </si>
  <si>
    <t>Janet</t>
  </si>
  <si>
    <t>Olsson</t>
  </si>
  <si>
    <t>Allison</t>
  </si>
  <si>
    <t>Evans</t>
  </si>
  <si>
    <t>www.carlstadt.org</t>
  </si>
  <si>
    <t>Carlstadt-East Rutherford Regional High School District</t>
  </si>
  <si>
    <t>Dario</t>
  </si>
  <si>
    <t>Sforza</t>
  </si>
  <si>
    <t>dsforza@bectonhs.org</t>
  </si>
  <si>
    <t>120 Paterson Avenue</t>
  </si>
  <si>
    <t>East Rutherford</t>
  </si>
  <si>
    <t>201-935-3007</t>
  </si>
  <si>
    <t>Nicholas</t>
  </si>
  <si>
    <t>Annitti</t>
  </si>
  <si>
    <t>Jonna</t>
  </si>
  <si>
    <t>Calvanico</t>
  </si>
  <si>
    <t>Marc</t>
  </si>
  <si>
    <t>Caprio</t>
  </si>
  <si>
    <t>Gbaguidi</t>
  </si>
  <si>
    <t>www.bectonhs.org</t>
  </si>
  <si>
    <t>Cliffside Park School District</t>
  </si>
  <si>
    <t>Romagnino</t>
  </si>
  <si>
    <t>mjr@cliffsidepark.edu</t>
  </si>
  <si>
    <t>525 Palisade Avenue</t>
  </si>
  <si>
    <t>Cliffside Park</t>
  </si>
  <si>
    <t>201-313-2300</t>
  </si>
  <si>
    <t>Louis</t>
  </si>
  <si>
    <t>Alfano</t>
  </si>
  <si>
    <t>Russo</t>
  </si>
  <si>
    <t>Renee</t>
  </si>
  <si>
    <t>Arp</t>
  </si>
  <si>
    <t>Dana</t>
  </si>
  <si>
    <t>Martinotti</t>
  </si>
  <si>
    <t>Savastano</t>
  </si>
  <si>
    <t>www.cliffsidepark.edu</t>
  </si>
  <si>
    <t>Closter Public School District</t>
  </si>
  <si>
    <t>Vincent</t>
  </si>
  <si>
    <t>McHale</t>
  </si>
  <si>
    <t>McHaleV@nvnet.org</t>
  </si>
  <si>
    <t>340 Homans Avenue</t>
  </si>
  <si>
    <t>Closter</t>
  </si>
  <si>
    <t>07624-2907</t>
  </si>
  <si>
    <t>201-768-3001 x41116</t>
  </si>
  <si>
    <t>Floro</t>
  </si>
  <si>
    <t>Villanueva</t>
  </si>
  <si>
    <t>Eichenlaub</t>
  </si>
  <si>
    <t>Keith</t>
  </si>
  <si>
    <t>McElroy</t>
  </si>
  <si>
    <t>Joanne</t>
  </si>
  <si>
    <t>Iyo</t>
  </si>
  <si>
    <t>Vince</t>
  </si>
  <si>
    <t>Salvati</t>
  </si>
  <si>
    <t>Carmichael</t>
  </si>
  <si>
    <t>www.closterschools.org</t>
  </si>
  <si>
    <t>Cresskill Public School District</t>
  </si>
  <si>
    <t>Burke</t>
  </si>
  <si>
    <t>mburke@cboek12.org</t>
  </si>
  <si>
    <t>15 Brookside Ave</t>
  </si>
  <si>
    <t>Cresskill</t>
  </si>
  <si>
    <t>201-227-7791 x1207</t>
  </si>
  <si>
    <t>Dawn</t>
  </si>
  <si>
    <t>Delasandro</t>
  </si>
  <si>
    <t>Janelle</t>
  </si>
  <si>
    <t>Amato</t>
  </si>
  <si>
    <t>Kurek</t>
  </si>
  <si>
    <t>Melissa</t>
  </si>
  <si>
    <t>Cavins</t>
  </si>
  <si>
    <t>www.cboek12.org</t>
  </si>
  <si>
    <t>Demarest School District</t>
  </si>
  <si>
    <t>foxm@nvnet.org</t>
  </si>
  <si>
    <t>568 Piermont Road</t>
  </si>
  <si>
    <t>Demarest</t>
  </si>
  <si>
    <t>201-768-6060 X53437</t>
  </si>
  <si>
    <t>Antoinette</t>
  </si>
  <si>
    <t>Terzini-Hollar</t>
  </si>
  <si>
    <t>Jonathon</t>
  </si>
  <si>
    <t>Regan</t>
  </si>
  <si>
    <t>Sherri</t>
  </si>
  <si>
    <t>Rinckhoff</t>
  </si>
  <si>
    <t>Victoria</t>
  </si>
  <si>
    <t>Zimmerman</t>
  </si>
  <si>
    <t>Mazzini</t>
  </si>
  <si>
    <t>http://demarestsd.schoolwires.net</t>
  </si>
  <si>
    <t>Dumont Public School District</t>
  </si>
  <si>
    <t>Emanuele</t>
  </si>
  <si>
    <t>Triggiano</t>
  </si>
  <si>
    <t>etriggiano@dumontnj.org</t>
  </si>
  <si>
    <t>25 Depew Street</t>
  </si>
  <si>
    <t>Dumont</t>
  </si>
  <si>
    <t>201-387-3080</t>
  </si>
  <si>
    <t>Cartotto</t>
  </si>
  <si>
    <t>Barbato</t>
  </si>
  <si>
    <t>Luis</t>
  </si>
  <si>
    <t>Lopez</t>
  </si>
  <si>
    <t>Poidomani</t>
  </si>
  <si>
    <t>Claudia</t>
  </si>
  <si>
    <t>Vesley</t>
  </si>
  <si>
    <t>Wichmann</t>
  </si>
  <si>
    <t>www.dumontnj.org</t>
  </si>
  <si>
    <t>East Rutherford School District</t>
  </si>
  <si>
    <t>Giovanni</t>
  </si>
  <si>
    <t>Giancaspro</t>
  </si>
  <si>
    <t>ggiancaspro@erboe.net</t>
  </si>
  <si>
    <t>100 Uhland Street</t>
  </si>
  <si>
    <t>201-804-3100 x1002</t>
  </si>
  <si>
    <t>Lameka</t>
  </si>
  <si>
    <t>Augustin</t>
  </si>
  <si>
    <t>King-Dobson</t>
  </si>
  <si>
    <t>Shanelle</t>
  </si>
  <si>
    <t>Muse</t>
  </si>
  <si>
    <t>Lukasz</t>
  </si>
  <si>
    <t>Majowicz</t>
  </si>
  <si>
    <t>Barrow</t>
  </si>
  <si>
    <t>www.erboe.net</t>
  </si>
  <si>
    <t>Edgewater School District</t>
  </si>
  <si>
    <t>Perrapato</t>
  </si>
  <si>
    <t>nperrapato@edgewaterschools.org</t>
  </si>
  <si>
    <t>251 Undercliff Ave</t>
  </si>
  <si>
    <t>Edgewater</t>
  </si>
  <si>
    <t>201-945-4106 X2200</t>
  </si>
  <si>
    <t>Kathleen</t>
  </si>
  <si>
    <t>Marano</t>
  </si>
  <si>
    <t>Interim Business Administrator</t>
  </si>
  <si>
    <t>Tranutolo</t>
  </si>
  <si>
    <t>Billy</t>
  </si>
  <si>
    <t>Cunningham</t>
  </si>
  <si>
    <t>Higgins</t>
  </si>
  <si>
    <t>Orazia</t>
  </si>
  <si>
    <t>Sepero</t>
  </si>
  <si>
    <t>DeSanto</t>
  </si>
  <si>
    <t>www.edgewaterschools.org</t>
  </si>
  <si>
    <t>Elmwood Park School District</t>
  </si>
  <si>
    <t>Iachetti</t>
  </si>
  <si>
    <t>aiachetti@epps.org</t>
  </si>
  <si>
    <t>60 East 53rd Street</t>
  </si>
  <si>
    <t>Elmwood Park</t>
  </si>
  <si>
    <t>201-796-8700 x3979</t>
  </si>
  <si>
    <t>DiPaola</t>
  </si>
  <si>
    <t>Gesumaria</t>
  </si>
  <si>
    <t>Jillian</t>
  </si>
  <si>
    <t>Torrento</t>
  </si>
  <si>
    <t>Mohammed</t>
  </si>
  <si>
    <t>Saadeh</t>
  </si>
  <si>
    <t>Moises</t>
  </si>
  <si>
    <t>Cordero</t>
  </si>
  <si>
    <t>Wartel</t>
  </si>
  <si>
    <t>http://www.elmwoodparkschools.org</t>
  </si>
  <si>
    <t>Emerson Public School District</t>
  </si>
  <si>
    <t>Gatens</t>
  </si>
  <si>
    <t>bgatens@emersonschools.org</t>
  </si>
  <si>
    <t>133 Main Street</t>
  </si>
  <si>
    <t xml:space="preserve">Administration Bldg. </t>
  </si>
  <si>
    <t>Emerson</t>
  </si>
  <si>
    <t>Administration Bldg.</t>
  </si>
  <si>
    <t>201-262-2828</t>
  </si>
  <si>
    <t>Nisonoff</t>
  </si>
  <si>
    <t>Sandy</t>
  </si>
  <si>
    <t>Casco-Vazquez</t>
  </si>
  <si>
    <t>Denise</t>
  </si>
  <si>
    <t>Connon</t>
  </si>
  <si>
    <t>Alice</t>
  </si>
  <si>
    <t>Opperman</t>
  </si>
  <si>
    <t>Pacciani</t>
  </si>
  <si>
    <t>Ponchak</t>
  </si>
  <si>
    <t>www.emersonschools.org</t>
  </si>
  <si>
    <t>Englewood Cliffs School District</t>
  </si>
  <si>
    <t>Brower</t>
  </si>
  <si>
    <t>jbrower@englewoodcliffs.org</t>
  </si>
  <si>
    <t>143 Charlotte Place</t>
  </si>
  <si>
    <t>Englewood Cliffs</t>
  </si>
  <si>
    <t>201-567-7292 x 222</t>
  </si>
  <si>
    <t>Jessenia</t>
  </si>
  <si>
    <t>Kan</t>
  </si>
  <si>
    <t>Smith</t>
  </si>
  <si>
    <t>Siobhan</t>
  </si>
  <si>
    <t>Tauchert</t>
  </si>
  <si>
    <t>Winch</t>
  </si>
  <si>
    <t>Donovan</t>
  </si>
  <si>
    <t>Ferguson</t>
  </si>
  <si>
    <t>www.englewoodcliffs.org</t>
  </si>
  <si>
    <t>Englewood on the Palisades Charter School</t>
  </si>
  <si>
    <t>Barckett</t>
  </si>
  <si>
    <t>charterschool@netzero.net</t>
  </si>
  <si>
    <t>65 West Demarest Avenue</t>
  </si>
  <si>
    <t>Englewood</t>
  </si>
  <si>
    <t>201-569-9765</t>
  </si>
  <si>
    <t>Owens</t>
  </si>
  <si>
    <t>Mary</t>
  </si>
  <si>
    <t>Carpenter</t>
  </si>
  <si>
    <t>Trevor</t>
  </si>
  <si>
    <t>Francois</t>
  </si>
  <si>
    <t>www.epcs.ws</t>
  </si>
  <si>
    <t>Englewood Public School District</t>
  </si>
  <si>
    <t>Ronald</t>
  </si>
  <si>
    <t>Bolandi</t>
  </si>
  <si>
    <t>rbolandi@epsd.org</t>
  </si>
  <si>
    <t>274 Knickerbocker Road</t>
  </si>
  <si>
    <t>201-862-6245</t>
  </si>
  <si>
    <t>Cheryl</t>
  </si>
  <si>
    <t>Balletto</t>
  </si>
  <si>
    <t>Monica</t>
  </si>
  <si>
    <t>Heinze</t>
  </si>
  <si>
    <t>Carroll</t>
  </si>
  <si>
    <t>Sanchez</t>
  </si>
  <si>
    <t>Brown</t>
  </si>
  <si>
    <t>Barrington</t>
  </si>
  <si>
    <t>Harris</t>
  </si>
  <si>
    <t>https://www.epsd.org</t>
  </si>
  <si>
    <t>Fair Lawn Public School District</t>
  </si>
  <si>
    <t>Norcia</t>
  </si>
  <si>
    <t>nnorcia@fairlawnschools.org</t>
  </si>
  <si>
    <t>37-01 Fair Lawn Avenue</t>
  </si>
  <si>
    <t>201-794-5500 x 7003</t>
  </si>
  <si>
    <t>Brooke</t>
  </si>
  <si>
    <t>Bartley</t>
  </si>
  <si>
    <t>Camille</t>
  </si>
  <si>
    <t>DeFranco</t>
  </si>
  <si>
    <t>Asst. Supt. Of Special Education</t>
  </si>
  <si>
    <t>Natalie</t>
  </si>
  <si>
    <t>Lacatena</t>
  </si>
  <si>
    <t>Radhames</t>
  </si>
  <si>
    <t>Tatis</t>
  </si>
  <si>
    <t>Robert</t>
  </si>
  <si>
    <t>Licamara</t>
  </si>
  <si>
    <t>www.fairlawnschools.org</t>
  </si>
  <si>
    <t>Fairview Public School District</t>
  </si>
  <si>
    <t>Sleppin</t>
  </si>
  <si>
    <t>dsleppin@fairviewps.org</t>
  </si>
  <si>
    <t>130 Hamilton Avenue</t>
  </si>
  <si>
    <t>Fairview</t>
  </si>
  <si>
    <t>201-943-0564 x 20</t>
  </si>
  <si>
    <t>Bussanich</t>
  </si>
  <si>
    <t>Maryann</t>
  </si>
  <si>
    <t>Bennetti</t>
  </si>
  <si>
    <t>Alexa</t>
  </si>
  <si>
    <t>Canning</t>
  </si>
  <si>
    <t>Puente</t>
  </si>
  <si>
    <t>Marini</t>
  </si>
  <si>
    <t>Kushi</t>
  </si>
  <si>
    <t>www.fairviewps.org</t>
  </si>
  <si>
    <t>Fort Lee School District</t>
  </si>
  <si>
    <t>Kenneth</t>
  </si>
  <si>
    <t>Rota</t>
  </si>
  <si>
    <t>krota@flboe.com</t>
  </si>
  <si>
    <t>231 Main Street, 3Fl.</t>
  </si>
  <si>
    <t>Fort Lee</t>
  </si>
  <si>
    <t>201-585-4612 x7501</t>
  </si>
  <si>
    <t>Haqquisha</t>
  </si>
  <si>
    <t>Taylor</t>
  </si>
  <si>
    <t>Davis</t>
  </si>
  <si>
    <t>Cuozzo</t>
  </si>
  <si>
    <t>Carrubba</t>
  </si>
  <si>
    <t>www.flboe.com</t>
  </si>
  <si>
    <t>Franklin Lakes School District</t>
  </si>
  <si>
    <t>Gregorio</t>
  </si>
  <si>
    <t>Maceri</t>
  </si>
  <si>
    <t>gmaceri@franklinlakes.k12.nj.us</t>
  </si>
  <si>
    <t>490 Pulis Avenue</t>
  </si>
  <si>
    <t>Franklin Lakes</t>
  </si>
  <si>
    <t>201-891-1856 x204</t>
  </si>
  <si>
    <t>Solokas</t>
  </si>
  <si>
    <t>Cash</t>
  </si>
  <si>
    <t>Supervisor of Special Services</t>
  </si>
  <si>
    <t>DeRosa</t>
  </si>
  <si>
    <t>Bridget</t>
  </si>
  <si>
    <t>Pastenkos</t>
  </si>
  <si>
    <t>www.franklinlakes.k12.nj.us</t>
  </si>
  <si>
    <t>Garfield Public School District</t>
  </si>
  <si>
    <t>Anna</t>
  </si>
  <si>
    <t>Sciacca</t>
  </si>
  <si>
    <t>asciacca@gboe.org</t>
  </si>
  <si>
    <t>34 OUTWATER LANE</t>
  </si>
  <si>
    <t>GARFIELD</t>
  </si>
  <si>
    <t>973-340-5000 X 2300</t>
  </si>
  <si>
    <t>Cusmano</t>
  </si>
  <si>
    <t>Beth</t>
  </si>
  <si>
    <t>Tecchio</t>
  </si>
  <si>
    <t>Jessica</t>
  </si>
  <si>
    <t>Ribaudo</t>
  </si>
  <si>
    <t>Alexandra</t>
  </si>
  <si>
    <t>Bellenger</t>
  </si>
  <si>
    <t>Laura</t>
  </si>
  <si>
    <t>Dunning</t>
  </si>
  <si>
    <t>gboe.org</t>
  </si>
  <si>
    <t>Glen Rock Public School District</t>
  </si>
  <si>
    <t>Brett</t>
  </si>
  <si>
    <t>Charleston</t>
  </si>
  <si>
    <t>charlestonb@glenrocknj.org</t>
  </si>
  <si>
    <t>620 HARRISTOWN ROAD</t>
  </si>
  <si>
    <t>GLEN ROCK</t>
  </si>
  <si>
    <t>201-445-7700  X8950</t>
  </si>
  <si>
    <t>Rinderknecht</t>
  </si>
  <si>
    <t>MacKay-Aug</t>
  </si>
  <si>
    <t>Escalante</t>
  </si>
  <si>
    <t>Giurlando</t>
  </si>
  <si>
    <t>Santos</t>
  </si>
  <si>
    <t>WWW.GLENROCKNJ.ORG</t>
  </si>
  <si>
    <t>Hackensack School District</t>
  </si>
  <si>
    <t>rsanchez@hackensackschools.org</t>
  </si>
  <si>
    <t>191 Second Street</t>
  </si>
  <si>
    <t>Hackensack</t>
  </si>
  <si>
    <t>201-646-0276</t>
  </si>
  <si>
    <t>Dora</t>
  </si>
  <si>
    <t>Zeno</t>
  </si>
  <si>
    <t>Darius</t>
  </si>
  <si>
    <t>Pemberton</t>
  </si>
  <si>
    <t>Heather</t>
  </si>
  <si>
    <t>Coleman</t>
  </si>
  <si>
    <t>Kazmark</t>
  </si>
  <si>
    <t>Adrian</t>
  </si>
  <si>
    <t>Cepero</t>
  </si>
  <si>
    <t>Lozano</t>
  </si>
  <si>
    <t>hackensackschools.org</t>
  </si>
  <si>
    <t>Harrington Park School District</t>
  </si>
  <si>
    <t>Adam</t>
  </si>
  <si>
    <t>Fried</t>
  </si>
  <si>
    <t>fried@hpsd.org</t>
  </si>
  <si>
    <t>191 Harriot Avenue</t>
  </si>
  <si>
    <t>Harrington Park</t>
  </si>
  <si>
    <t>201-768-5700 x38603</t>
  </si>
  <si>
    <t>Bryan</t>
  </si>
  <si>
    <t>Jursca</t>
  </si>
  <si>
    <t>Korner</t>
  </si>
  <si>
    <t>Ross</t>
  </si>
  <si>
    <t>Herbert</t>
  </si>
  <si>
    <t>Thein</t>
  </si>
  <si>
    <t>www.hpsd.org</t>
  </si>
  <si>
    <t>Hasbrouck Heights School District</t>
  </si>
  <si>
    <t>Helfant</t>
  </si>
  <si>
    <t>helfantm@hhschools.org</t>
  </si>
  <si>
    <t>379 Boulevard</t>
  </si>
  <si>
    <t>Hasbrouck Heights</t>
  </si>
  <si>
    <t>201-393-8146</t>
  </si>
  <si>
    <t>Dina</t>
  </si>
  <si>
    <t>Messery</t>
  </si>
  <si>
    <t>Janine</t>
  </si>
  <si>
    <t>Gribbin</t>
  </si>
  <si>
    <t>Vincenzo</t>
  </si>
  <si>
    <t>Barchini</t>
  </si>
  <si>
    <t>Matty</t>
  </si>
  <si>
    <t>D'Amico</t>
  </si>
  <si>
    <t>www.hhschools.org</t>
  </si>
  <si>
    <t>Haworth Public School District</t>
  </si>
  <si>
    <t>Peter</t>
  </si>
  <si>
    <t>Hughes</t>
  </si>
  <si>
    <t>hughesp@nvnet.org</t>
  </si>
  <si>
    <t>205 Valley Road</t>
  </si>
  <si>
    <t>Haworth</t>
  </si>
  <si>
    <t>201-384-5526 x35108</t>
  </si>
  <si>
    <t>Wolford</t>
  </si>
  <si>
    <t>Horne</t>
  </si>
  <si>
    <t>www.haworth.org</t>
  </si>
  <si>
    <t>Hillsdale School District</t>
  </si>
  <si>
    <t>Lombardy</t>
  </si>
  <si>
    <t>rlombardy@hillsdaleschools.com</t>
  </si>
  <si>
    <t>32 RUCKMAN ROAD</t>
  </si>
  <si>
    <t>HILLSDALE</t>
  </si>
  <si>
    <t>201-664-0282</t>
  </si>
  <si>
    <t>Sacha</t>
  </si>
  <si>
    <t>Pouliot</t>
  </si>
  <si>
    <t>Oliveri</t>
  </si>
  <si>
    <t>Charles</t>
  </si>
  <si>
    <t>Giordano</t>
  </si>
  <si>
    <t>Ulshoefer</t>
  </si>
  <si>
    <t>www.hillsdaleschools.com</t>
  </si>
  <si>
    <t>Ho-Ho-Kus School District</t>
  </si>
  <si>
    <t>Diane</t>
  </si>
  <si>
    <t>Mardy</t>
  </si>
  <si>
    <t>dmardy@hohokus.org</t>
  </si>
  <si>
    <t>70 Lloyd Road</t>
  </si>
  <si>
    <t>Ho-Ho-Kus</t>
  </si>
  <si>
    <t>201-689-0175</t>
  </si>
  <si>
    <t>Jacobus</t>
  </si>
  <si>
    <t>Patino</t>
  </si>
  <si>
    <t>Martha</t>
  </si>
  <si>
    <t>Walsh</t>
  </si>
  <si>
    <t>Merchan</t>
  </si>
  <si>
    <t>www.hohokus.org</t>
  </si>
  <si>
    <t>Leonia Public School District</t>
  </si>
  <si>
    <t>Edward</t>
  </si>
  <si>
    <t>Bertolini</t>
  </si>
  <si>
    <t>edward.bertolini@leoniaschools.org</t>
  </si>
  <si>
    <t>566 Grand Avenue</t>
  </si>
  <si>
    <t>Leonia</t>
  </si>
  <si>
    <t>570 Grand Avenue</t>
  </si>
  <si>
    <t>201-302-5200 x 1200</t>
  </si>
  <si>
    <t>Rashon</t>
  </si>
  <si>
    <t>Hasan</t>
  </si>
  <si>
    <t>Servis</t>
  </si>
  <si>
    <t>Stein</t>
  </si>
  <si>
    <t>Tafari</t>
  </si>
  <si>
    <t>Anderson</t>
  </si>
  <si>
    <t>Erich</t>
  </si>
  <si>
    <t>Breyer</t>
  </si>
  <si>
    <t>www.leoniaschools.org</t>
  </si>
  <si>
    <t>Little Ferry Public School District</t>
  </si>
  <si>
    <t>Scarafile</t>
  </si>
  <si>
    <t>fscarafile@lfboe.org</t>
  </si>
  <si>
    <t>130 Liberty Street</t>
  </si>
  <si>
    <t>Little Ferry</t>
  </si>
  <si>
    <t>130A Liberty Street</t>
  </si>
  <si>
    <t>201-641-6192 x1602</t>
  </si>
  <si>
    <t>Trueba</t>
  </si>
  <si>
    <t>Leone</t>
  </si>
  <si>
    <t>Rachael</t>
  </si>
  <si>
    <t>Carletto</t>
  </si>
  <si>
    <t>Horst</t>
  </si>
  <si>
    <t>Porfido</t>
  </si>
  <si>
    <t>http://www.littleferry.k12.nj.us</t>
  </si>
  <si>
    <t>Lodi School District</t>
  </si>
  <si>
    <t>Douglas</t>
  </si>
  <si>
    <t>Petty</t>
  </si>
  <si>
    <t>douglas.petty@lodi.k12.nj.us</t>
  </si>
  <si>
    <t>8 Hunter Street</t>
  </si>
  <si>
    <t>Lodi</t>
  </si>
  <si>
    <t>973-778-4620</t>
  </si>
  <si>
    <t>Dennis</t>
  </si>
  <si>
    <t>Frohnapfel</t>
  </si>
  <si>
    <t>Roberto</t>
  </si>
  <si>
    <t>Mendez</t>
  </si>
  <si>
    <t>Lisamarie</t>
  </si>
  <si>
    <t>Stancescu</t>
  </si>
  <si>
    <t>Luna</t>
  </si>
  <si>
    <t>Dowson</t>
  </si>
  <si>
    <t>www.lodi.k12.nj.us/</t>
  </si>
  <si>
    <t>Lyndhurst School District</t>
  </si>
  <si>
    <t>Grieco</t>
  </si>
  <si>
    <t>anthonygrieco@lyndhurst.k12.nj.us</t>
  </si>
  <si>
    <t>420 Fern Avenue, 2nd Floor</t>
  </si>
  <si>
    <t>Lyndhurst</t>
  </si>
  <si>
    <t>201-438-5683</t>
  </si>
  <si>
    <t>Hayes</t>
  </si>
  <si>
    <t>Jamie</t>
  </si>
  <si>
    <t>Stevens</t>
  </si>
  <si>
    <t>Theresa</t>
  </si>
  <si>
    <t>Brennen</t>
  </si>
  <si>
    <t>Bisig</t>
  </si>
  <si>
    <t>www.lyndhurstschools.net</t>
  </si>
  <si>
    <t>Mahwah Township Public School District</t>
  </si>
  <si>
    <t>Fitts</t>
  </si>
  <si>
    <t>lfitts@mahwah.k12.nj.us</t>
  </si>
  <si>
    <t>60 Ridge Rd.</t>
  </si>
  <si>
    <t>Mahwah</t>
  </si>
  <si>
    <t>201-762-2404</t>
  </si>
  <si>
    <t>Kyle</t>
  </si>
  <si>
    <t>Bleeker</t>
  </si>
  <si>
    <t>Rizzo</t>
  </si>
  <si>
    <t>Ulmer</t>
  </si>
  <si>
    <t>Carlos</t>
  </si>
  <si>
    <t>Rosa</t>
  </si>
  <si>
    <t>DeTuro</t>
  </si>
  <si>
    <t>www.mahwah.k12.nj.us</t>
  </si>
  <si>
    <t>Maywood School District</t>
  </si>
  <si>
    <t>Jordan</t>
  </si>
  <si>
    <t>mjordan@maywoodschools.org</t>
  </si>
  <si>
    <t>452 Maywood Avenue</t>
  </si>
  <si>
    <t>Maywood</t>
  </si>
  <si>
    <t>201-845-9114 x 111</t>
  </si>
  <si>
    <t>Pfohl</t>
  </si>
  <si>
    <t>Sheryl</t>
  </si>
  <si>
    <t>Kerry</t>
  </si>
  <si>
    <t>Leto</t>
  </si>
  <si>
    <t>Jerry</t>
  </si>
  <si>
    <t>Halligan</t>
  </si>
  <si>
    <t>WWW.MAYWOODSCHOOLS.ORG</t>
  </si>
  <si>
    <t>Midland Park School District</t>
  </si>
  <si>
    <t>Marie</t>
  </si>
  <si>
    <t>Cirasella</t>
  </si>
  <si>
    <t>mcirasella@mpsnj.org</t>
  </si>
  <si>
    <t>250 Prospect Street</t>
  </si>
  <si>
    <t>Midland Park</t>
  </si>
  <si>
    <t>07432-1398</t>
  </si>
  <si>
    <t>201-444-1400 x101</t>
  </si>
  <si>
    <t>Stacy</t>
  </si>
  <si>
    <t>Garvey</t>
  </si>
  <si>
    <t>Ann Marie</t>
  </si>
  <si>
    <t>Bruder</t>
  </si>
  <si>
    <t>Craig</t>
  </si>
  <si>
    <t>Rush</t>
  </si>
  <si>
    <t>Galasso</t>
  </si>
  <si>
    <t>Carole</t>
  </si>
  <si>
    <t>Treta</t>
  </si>
  <si>
    <t>Capuano</t>
  </si>
  <si>
    <t>www.mpsnj.org</t>
  </si>
  <si>
    <t>Montvale Board of Education School District</t>
  </si>
  <si>
    <t>Darren</t>
  </si>
  <si>
    <t>dpetersen@montvalek8.org</t>
  </si>
  <si>
    <t>47 Spring Valley Road</t>
  </si>
  <si>
    <t>Montvale</t>
  </si>
  <si>
    <t>201-391-1662</t>
  </si>
  <si>
    <t>Wasserman</t>
  </si>
  <si>
    <t>Christina</t>
  </si>
  <si>
    <t>Gouraige</t>
  </si>
  <si>
    <t>Erik</t>
  </si>
  <si>
    <t>Parks</t>
  </si>
  <si>
    <t>Valois</t>
  </si>
  <si>
    <t>www.montvalek8.org</t>
  </si>
  <si>
    <t>Moonachie School District</t>
  </si>
  <si>
    <t>Knipper</t>
  </si>
  <si>
    <t>jknipper@moonachieschool.org</t>
  </si>
  <si>
    <t>20 West Park Street</t>
  </si>
  <si>
    <t>Moonachie</t>
  </si>
  <si>
    <t>201-641-5833 x101</t>
  </si>
  <si>
    <t>Laurel</t>
  </si>
  <si>
    <t>Spadavecchia</t>
  </si>
  <si>
    <t>Diaz</t>
  </si>
  <si>
    <t>www.moonachieschool.org</t>
  </si>
  <si>
    <t>New Milford Public School District</t>
  </si>
  <si>
    <t>Polizzi</t>
  </si>
  <si>
    <t>mpolizzi@nmpsd.org</t>
  </si>
  <si>
    <t>145 MADISON AVENUE</t>
  </si>
  <si>
    <t>NEW MILFORD</t>
  </si>
  <si>
    <t>201-261-2952  x1125</t>
  </si>
  <si>
    <t>Stephanie</t>
  </si>
  <si>
    <t>Kuchar</t>
  </si>
  <si>
    <t>Whitney</t>
  </si>
  <si>
    <t>Bennett-Perro</t>
  </si>
  <si>
    <t>Doreen</t>
  </si>
  <si>
    <t>Zacher</t>
  </si>
  <si>
    <t>Odoksta</t>
  </si>
  <si>
    <t>www.newmilfordschools.org</t>
  </si>
  <si>
    <t>North Arlington School District</t>
  </si>
  <si>
    <t>Yurchak</t>
  </si>
  <si>
    <t>syurchak@navikings.org</t>
  </si>
  <si>
    <t>222 Ridge Road</t>
  </si>
  <si>
    <t>North Arlington</t>
  </si>
  <si>
    <t>BOE Offices</t>
  </si>
  <si>
    <t>201-991-6800 x3051</t>
  </si>
  <si>
    <t>Dembowski</t>
  </si>
  <si>
    <t>Kenny</t>
  </si>
  <si>
    <t>Rodriguez</t>
  </si>
  <si>
    <t>Elaine</t>
  </si>
  <si>
    <t>Jaume</t>
  </si>
  <si>
    <t>www.navikings.org</t>
  </si>
  <si>
    <t>Northern Highlands Regional High School District</t>
  </si>
  <si>
    <t>Scot</t>
  </si>
  <si>
    <t>Beckerman</t>
  </si>
  <si>
    <t>beckermans@northernhighlands.org</t>
  </si>
  <si>
    <t>298 Hillside Avenue</t>
  </si>
  <si>
    <t>07401-1447</t>
  </si>
  <si>
    <t>201-327-8700 X503</t>
  </si>
  <si>
    <t>Sue Anne</t>
  </si>
  <si>
    <t>Mather</t>
  </si>
  <si>
    <t>Buono</t>
  </si>
  <si>
    <t>Koth</t>
  </si>
  <si>
    <t>Jose</t>
  </si>
  <si>
    <t>Madhavasseril</t>
  </si>
  <si>
    <t>www.northernhighlands.org</t>
  </si>
  <si>
    <t>Northern Valley Regional High School District</t>
  </si>
  <si>
    <t>Santana</t>
  </si>
  <si>
    <t>santana@nvnet.org</t>
  </si>
  <si>
    <t>162 Knickerbocker Road</t>
  </si>
  <si>
    <t>201-768-2200 x12160</t>
  </si>
  <si>
    <t>Capizzi</t>
  </si>
  <si>
    <t>Battaglia</t>
  </si>
  <si>
    <t>Spatz</t>
  </si>
  <si>
    <t>Julie</t>
  </si>
  <si>
    <t>Bookstaver</t>
  </si>
  <si>
    <t>Deborah</t>
  </si>
  <si>
    <t>Sarmir</t>
  </si>
  <si>
    <t>www.nvnet.org</t>
  </si>
  <si>
    <t>Northvale Public School District</t>
  </si>
  <si>
    <t>Pinajian</t>
  </si>
  <si>
    <t>pinajian@nvnet.org</t>
  </si>
  <si>
    <t>441 TAPPAN ROAD</t>
  </si>
  <si>
    <t>NORTHVALE</t>
  </si>
  <si>
    <t>201-768-8484 x30234</t>
  </si>
  <si>
    <t>Turco</t>
  </si>
  <si>
    <t>Faustini</t>
  </si>
  <si>
    <t>Jeanne</t>
  </si>
  <si>
    <t>Griffin</t>
  </si>
  <si>
    <t>www.NORTHVALESCHOOL.ORG</t>
  </si>
  <si>
    <t>Norwood Public School District</t>
  </si>
  <si>
    <t>grossl@wearenorwood.com</t>
  </si>
  <si>
    <t>177 Summit Street</t>
  </si>
  <si>
    <t>Norwood</t>
  </si>
  <si>
    <t>201-768-6363 x60003</t>
  </si>
  <si>
    <t>Victor</t>
  </si>
  <si>
    <t>Roth</t>
  </si>
  <si>
    <t>Aaron</t>
  </si>
  <si>
    <t>Gulko</t>
  </si>
  <si>
    <t>Chris</t>
  </si>
  <si>
    <t>Rzucidlo</t>
  </si>
  <si>
    <t>www.wearenorwood.org</t>
  </si>
  <si>
    <t>Oakland Public School District</t>
  </si>
  <si>
    <t>Coffaro</t>
  </si>
  <si>
    <t>coffaro@oaklandschoolsnj.org</t>
  </si>
  <si>
    <t>315 Ramapo Valley Road</t>
  </si>
  <si>
    <t>Oakland</t>
  </si>
  <si>
    <t>201-337-6156 x4016</t>
  </si>
  <si>
    <t>Wells</t>
  </si>
  <si>
    <t>Zimmerle</t>
  </si>
  <si>
    <t>Bowe</t>
  </si>
  <si>
    <t>Roseanne</t>
  </si>
  <si>
    <t>Manganelli</t>
  </si>
  <si>
    <t>Kristin</t>
  </si>
  <si>
    <t>Carr</t>
  </si>
  <si>
    <t>www.oaklandschoolsnj.org</t>
  </si>
  <si>
    <t>Old Tappan Public School District</t>
  </si>
  <si>
    <t>Danielle</t>
  </si>
  <si>
    <t>Da Giau</t>
  </si>
  <si>
    <t>dagiau@nvnet.org</t>
  </si>
  <si>
    <t>277 Old Tappan Rd.</t>
  </si>
  <si>
    <t>Old Tappan</t>
  </si>
  <si>
    <t>201-664-1421 x2501</t>
  </si>
  <si>
    <t>Barrett</t>
  </si>
  <si>
    <t>Abbe</t>
  </si>
  <si>
    <t>Lewites</t>
  </si>
  <si>
    <t>Sabatino</t>
  </si>
  <si>
    <t>Lauriello</t>
  </si>
  <si>
    <t>Sullivan</t>
  </si>
  <si>
    <t>Tatyana</t>
  </si>
  <si>
    <t>Budanskaya</t>
  </si>
  <si>
    <t>www.oldtappanschools.org</t>
  </si>
  <si>
    <t>Oradell Public School District</t>
  </si>
  <si>
    <t>Longo</t>
  </si>
  <si>
    <t>longob@oradellschool.org</t>
  </si>
  <si>
    <t>350 Prospect Avenue</t>
  </si>
  <si>
    <t>Oradell</t>
  </si>
  <si>
    <t>201-261-1180  x3004</t>
  </si>
  <si>
    <t>Marmora</t>
  </si>
  <si>
    <t>Shannon</t>
  </si>
  <si>
    <t>Sharkey</t>
  </si>
  <si>
    <t>Bozios</t>
  </si>
  <si>
    <t>oradellschool.org</t>
  </si>
  <si>
    <t>Palisades Park School District</t>
  </si>
  <si>
    <t>Cirillo</t>
  </si>
  <si>
    <t>jcirillo@ palpkschools.org</t>
  </si>
  <si>
    <t>410 Second St</t>
  </si>
  <si>
    <t>Palisades Park</t>
  </si>
  <si>
    <t>201-947-3550</t>
  </si>
  <si>
    <t>Lalalia</t>
  </si>
  <si>
    <t>Gillis</t>
  </si>
  <si>
    <t>Joanna</t>
  </si>
  <si>
    <t>Hali</t>
  </si>
  <si>
    <t>Pieratos</t>
  </si>
  <si>
    <t>Amani</t>
  </si>
  <si>
    <t>Dyer</t>
  </si>
  <si>
    <t>Freddy</t>
  </si>
  <si>
    <t>Nunez</t>
  </si>
  <si>
    <t>palpkschools.org</t>
  </si>
  <si>
    <t>Paramus Public School District</t>
  </si>
  <si>
    <t>Adams</t>
  </si>
  <si>
    <t>sadams@paramusschools.org</t>
  </si>
  <si>
    <t>145 Spring Valley Road</t>
  </si>
  <si>
    <t>201-261-7800 x3000</t>
  </si>
  <si>
    <t>Cea</t>
  </si>
  <si>
    <t>Margaret</t>
  </si>
  <si>
    <t>Damiano</t>
  </si>
  <si>
    <t>Dara</t>
  </si>
  <si>
    <t>Cook</t>
  </si>
  <si>
    <t>Alfredo</t>
  </si>
  <si>
    <t>Aguilar</t>
  </si>
  <si>
    <t>http://www.paramus.k12.nj.us</t>
  </si>
  <si>
    <t>Park Ridge School District</t>
  </si>
  <si>
    <t>Gamper</t>
  </si>
  <si>
    <t>robertgamper@parkridge.k12.nj.us</t>
  </si>
  <si>
    <t>85 Pascack Road</t>
  </si>
  <si>
    <t>Park Ridge</t>
  </si>
  <si>
    <t>201-573-6000</t>
  </si>
  <si>
    <t>Wright</t>
  </si>
  <si>
    <t>Bernardo</t>
  </si>
  <si>
    <t>Marseglia</t>
  </si>
  <si>
    <t>www.parkridge.k12.nj.us</t>
  </si>
  <si>
    <t>Pascack Valley Regional High School District</t>
  </si>
  <si>
    <t>Gundersen</t>
  </si>
  <si>
    <t>egundersen@pascack.org</t>
  </si>
  <si>
    <t>28 West Grand Avenue</t>
  </si>
  <si>
    <t xml:space="preserve">Suite 2 </t>
  </si>
  <si>
    <t>Suite 2</t>
  </si>
  <si>
    <t>201-358-7004 x21005</t>
  </si>
  <si>
    <t>Yas</t>
  </si>
  <si>
    <t>Usami</t>
  </si>
  <si>
    <t>Eva</t>
  </si>
  <si>
    <t>Merk</t>
  </si>
  <si>
    <t>Struncis</t>
  </si>
  <si>
    <t>Bachenheimer</t>
  </si>
  <si>
    <t>www.pascack.org</t>
  </si>
  <si>
    <t>Ramapo Indian Hills Regional High School District</t>
  </si>
  <si>
    <t>Riscica</t>
  </si>
  <si>
    <t>ariscica@rih.org</t>
  </si>
  <si>
    <t>131 Yawpo Avenue</t>
  </si>
  <si>
    <t>201-416-8100</t>
  </si>
  <si>
    <t>Lambe</t>
  </si>
  <si>
    <t>Sutherland</t>
  </si>
  <si>
    <t>Wolff</t>
  </si>
  <si>
    <t>www.rih.org</t>
  </si>
  <si>
    <t>Ramsey School District</t>
  </si>
  <si>
    <t>Murphy</t>
  </si>
  <si>
    <t>mmurphy@ramsey.k12.nj.us</t>
  </si>
  <si>
    <t>25 North Franklin Turnpike</t>
  </si>
  <si>
    <t>Ramsey</t>
  </si>
  <si>
    <t>07446-1927</t>
  </si>
  <si>
    <t>201-785-2300 X20416</t>
  </si>
  <si>
    <t>OHern</t>
  </si>
  <si>
    <t>Donna</t>
  </si>
  <si>
    <t>Vople</t>
  </si>
  <si>
    <t>Caporuscio</t>
  </si>
  <si>
    <t>Matteo</t>
  </si>
  <si>
    <t>Esdale</t>
  </si>
  <si>
    <t>www.ramsey.k12.nj.us</t>
  </si>
  <si>
    <t>Ridgefield Park Public School District</t>
  </si>
  <si>
    <t>Angela</t>
  </si>
  <si>
    <t>Bender</t>
  </si>
  <si>
    <t>abender@rpschools.net</t>
  </si>
  <si>
    <t>712 Lincoln Avenue</t>
  </si>
  <si>
    <t>Ridgefield Park</t>
  </si>
  <si>
    <t>201-807-2640</t>
  </si>
  <si>
    <t>Tevis</t>
  </si>
  <si>
    <t>Gonzalez</t>
  </si>
  <si>
    <t>Kopec</t>
  </si>
  <si>
    <t>Haines</t>
  </si>
  <si>
    <t>Hernando</t>
  </si>
  <si>
    <t>www.rpps.net</t>
  </si>
  <si>
    <t>Ridgefield School District</t>
  </si>
  <si>
    <t>Letizia</t>
  </si>
  <si>
    <t>Pantoliano</t>
  </si>
  <si>
    <t>lpantoliano@ridgefieldschools.com</t>
  </si>
  <si>
    <t>555 Chestnut Street</t>
  </si>
  <si>
    <t>Ridgefield</t>
  </si>
  <si>
    <t>201-945-7747</t>
  </si>
  <si>
    <t>Julyana</t>
  </si>
  <si>
    <t>Ortiz</t>
  </si>
  <si>
    <t>Drimones</t>
  </si>
  <si>
    <t>Kara</t>
  </si>
  <si>
    <t>Doviak</t>
  </si>
  <si>
    <t>Seabold</t>
  </si>
  <si>
    <t>Stavros</t>
  </si>
  <si>
    <t>Nikas</t>
  </si>
  <si>
    <t>www.ridgefieldschools.com</t>
  </si>
  <si>
    <t>Ridgewood Public School District</t>
  </si>
  <si>
    <t>Gorman</t>
  </si>
  <si>
    <t>tgorman@ridgewood.k12.nj.us</t>
  </si>
  <si>
    <t>49 Cottage Place</t>
  </si>
  <si>
    <t>Ridgewood</t>
  </si>
  <si>
    <t>201-670-2700x10501</t>
  </si>
  <si>
    <t>Fenwick</t>
  </si>
  <si>
    <t>Stacie</t>
  </si>
  <si>
    <t>Poelstra</t>
  </si>
  <si>
    <t>Honor</t>
  </si>
  <si>
    <t>Feiberg</t>
  </si>
  <si>
    <t>Serhiy</t>
  </si>
  <si>
    <t>Morhun</t>
  </si>
  <si>
    <t>Fishbein</t>
  </si>
  <si>
    <t>https://www.ridgewood.k12.nj.us/</t>
  </si>
  <si>
    <t>River Dell Regional School District</t>
  </si>
  <si>
    <t>Fletcher</t>
  </si>
  <si>
    <t>patrick.fletcher@riverdell.org</t>
  </si>
  <si>
    <t>230 Woodland Avenue</t>
  </si>
  <si>
    <t>River Edge</t>
  </si>
  <si>
    <t>07661-1504</t>
  </si>
  <si>
    <t>201-599-7206</t>
  </si>
  <si>
    <t>Bonfiglio</t>
  </si>
  <si>
    <t>Cooney</t>
  </si>
  <si>
    <t>Ali</t>
  </si>
  <si>
    <t>Marianthe</t>
  </si>
  <si>
    <t>www.riverdell.org</t>
  </si>
  <si>
    <t>River Edge School District</t>
  </si>
  <si>
    <t>Tova</t>
  </si>
  <si>
    <t>Ben-Dov</t>
  </si>
  <si>
    <t>bendovt@riveredgeschools.org</t>
  </si>
  <si>
    <t>410 Bogert Road</t>
  </si>
  <si>
    <t>201-261-3404 x310</t>
  </si>
  <si>
    <t>Louise</t>
  </si>
  <si>
    <t>Napolitano</t>
  </si>
  <si>
    <t>Rosemary</t>
  </si>
  <si>
    <t>Kuruc</t>
  </si>
  <si>
    <t>Eric</t>
  </si>
  <si>
    <t>Heitman</t>
  </si>
  <si>
    <t>Henzel</t>
  </si>
  <si>
    <t>www.riveredgeschools.org</t>
  </si>
  <si>
    <t>River Vale Public School District</t>
  </si>
  <si>
    <t>Alvarez</t>
  </si>
  <si>
    <t>falvarez@rivervaleschools.com</t>
  </si>
  <si>
    <t>609 Westwood Avenue</t>
  </si>
  <si>
    <t>River Vale</t>
  </si>
  <si>
    <t>201-358-4020</t>
  </si>
  <si>
    <t>Ippolito</t>
  </si>
  <si>
    <t>DeGaetano</t>
  </si>
  <si>
    <t>Justin</t>
  </si>
  <si>
    <t>Jasper</t>
  </si>
  <si>
    <t>Dowling</t>
  </si>
  <si>
    <t>O Gara</t>
  </si>
  <si>
    <t>Cody</t>
  </si>
  <si>
    <t>www.rivervaleschools.com</t>
  </si>
  <si>
    <t>Rochelle Park School District</t>
  </si>
  <si>
    <t>Sue</t>
  </si>
  <si>
    <t>DeNobile</t>
  </si>
  <si>
    <t>SDeNobile@rochellepark.org</t>
  </si>
  <si>
    <t>300 Rochelle Ave</t>
  </si>
  <si>
    <t>Rochelle Park</t>
  </si>
  <si>
    <t>201-843-3120x514</t>
  </si>
  <si>
    <t>Jiosi</t>
  </si>
  <si>
    <t>Vanessa</t>
  </si>
  <si>
    <t>Aiello</t>
  </si>
  <si>
    <t>Liz</t>
  </si>
  <si>
    <t>Nam</t>
  </si>
  <si>
    <t>Cara</t>
  </si>
  <si>
    <t>Hurd</t>
  </si>
  <si>
    <t>Lahullier</t>
  </si>
  <si>
    <t>Alberta</t>
  </si>
  <si>
    <t>www.rochellepark.org</t>
  </si>
  <si>
    <t>Rockleigh School District</t>
  </si>
  <si>
    <t>rockleighnjboe@aol.com</t>
  </si>
  <si>
    <t>26 Rockleigh Road</t>
  </si>
  <si>
    <t>Rockleigh</t>
  </si>
  <si>
    <t>P. O. Box 53</t>
  </si>
  <si>
    <t>201-245-1946</t>
  </si>
  <si>
    <t>Roer</t>
  </si>
  <si>
    <t>Rutherford School District</t>
  </si>
  <si>
    <t>Hurley</t>
  </si>
  <si>
    <t>jhurley@rutherfordschools.org</t>
  </si>
  <si>
    <t>176 Park Avenue</t>
  </si>
  <si>
    <t>Rutherford</t>
  </si>
  <si>
    <t>07070-2310</t>
  </si>
  <si>
    <t>201-438-7675 x1101</t>
  </si>
  <si>
    <t>Perez Hoen</t>
  </si>
  <si>
    <t>Fargo</t>
  </si>
  <si>
    <t>ODonnell</t>
  </si>
  <si>
    <t>www.rutherfordschools.org</t>
  </si>
  <si>
    <t>Saddle Brook School District</t>
  </si>
  <si>
    <t>Shanley</t>
  </si>
  <si>
    <t>dshanley@sbpsnj.org</t>
  </si>
  <si>
    <t>355 Mayhill Street</t>
  </si>
  <si>
    <t xml:space="preserve">Administrative Offices </t>
  </si>
  <si>
    <t>Saddle Brook</t>
  </si>
  <si>
    <t>Administrative Offices</t>
  </si>
  <si>
    <t>201-843-1142 x2305</t>
  </si>
  <si>
    <t>Raymond</t>
  </si>
  <si>
    <t>Karaty</t>
  </si>
  <si>
    <t>Reisenauer</t>
  </si>
  <si>
    <t>Jaynellen</t>
  </si>
  <si>
    <t>Jenkins</t>
  </si>
  <si>
    <t>Toni</t>
  </si>
  <si>
    <t>Violetti</t>
  </si>
  <si>
    <t>Sonya</t>
  </si>
  <si>
    <t>Otero</t>
  </si>
  <si>
    <t>Coffey</t>
  </si>
  <si>
    <t>www.sbpsnj.org</t>
  </si>
  <si>
    <t>Saddle River School District</t>
  </si>
  <si>
    <t>Cinotti</t>
  </si>
  <si>
    <t>gcinotti@wandellschool.org</t>
  </si>
  <si>
    <t>97 E. Allendale Road</t>
  </si>
  <si>
    <t>Saddle River</t>
  </si>
  <si>
    <t>201-327-0727 x207</t>
  </si>
  <si>
    <t>Ana</t>
  </si>
  <si>
    <t>Pfalzgraf</t>
  </si>
  <si>
    <t>Leslie</t>
  </si>
  <si>
    <t>Boel</t>
  </si>
  <si>
    <t>www.wandellschool.org</t>
  </si>
  <si>
    <t>South  Bergen Jointure Commission School District</t>
  </si>
  <si>
    <t>mkuchar@njsbjc.org</t>
  </si>
  <si>
    <t>500 Route 17 South</t>
  </si>
  <si>
    <t xml:space="preserve">Suite 307 </t>
  </si>
  <si>
    <t>Suite 307</t>
  </si>
  <si>
    <t>201-393-0475 x236</t>
  </si>
  <si>
    <t>Cucciniello</t>
  </si>
  <si>
    <t>Lorraine</t>
  </si>
  <si>
    <t>Carrasco-Rake</t>
  </si>
  <si>
    <t>Ashley</t>
  </si>
  <si>
    <t>Vaughan</t>
  </si>
  <si>
    <t>Edwin</t>
  </si>
  <si>
    <t>Flores</t>
  </si>
  <si>
    <t>Sheldon</t>
  </si>
  <si>
    <t>www.njsbjc.org</t>
  </si>
  <si>
    <t>South Hackensack School District</t>
  </si>
  <si>
    <t>Chirichella</t>
  </si>
  <si>
    <t>Acting Superintendent</t>
  </si>
  <si>
    <t>jchirichella@shmemorial.org</t>
  </si>
  <si>
    <t>1 Dyer Avenue</t>
  </si>
  <si>
    <t xml:space="preserve">Memorial School </t>
  </si>
  <si>
    <t>South Hackensack</t>
  </si>
  <si>
    <t>07606-1537</t>
  </si>
  <si>
    <t>Memorial School</t>
  </si>
  <si>
    <t>201-440-2782 x 140</t>
  </si>
  <si>
    <t>Carla</t>
  </si>
  <si>
    <t>Moreno</t>
  </si>
  <si>
    <t>Anne</t>
  </si>
  <si>
    <t>Turtoro</t>
  </si>
  <si>
    <t>Badre</t>
  </si>
  <si>
    <t>Chrichella</t>
  </si>
  <si>
    <t>http://www.shmemorial.org</t>
  </si>
  <si>
    <t>Teaneck Community Charter School</t>
  </si>
  <si>
    <t>Ralph</t>
  </si>
  <si>
    <t>Gallo</t>
  </si>
  <si>
    <t>rgallo@tccsnj.org</t>
  </si>
  <si>
    <t>563 Chestnut Ave.</t>
  </si>
  <si>
    <t>Teaneck</t>
  </si>
  <si>
    <t>201-833-9600</t>
  </si>
  <si>
    <t>Jazwinski</t>
  </si>
  <si>
    <t>Kristina</t>
  </si>
  <si>
    <t>Anders</t>
  </si>
  <si>
    <t>Sonia</t>
  </si>
  <si>
    <t>Torres</t>
  </si>
  <si>
    <t>www.tccsnj.org</t>
  </si>
  <si>
    <t>Teaneck School District</t>
  </si>
  <si>
    <t>Irving</t>
  </si>
  <si>
    <t>cirving@teaneckschools.org</t>
  </si>
  <si>
    <t>651 Teaneck Road</t>
  </si>
  <si>
    <t>201-833-5510</t>
  </si>
  <si>
    <t>Simmons</t>
  </si>
  <si>
    <t>Erica</t>
  </si>
  <si>
    <t>Cerilli-Levine</t>
  </si>
  <si>
    <t>Keshia</t>
  </si>
  <si>
    <t>Golding-Cooper</t>
  </si>
  <si>
    <t>Saleh</t>
  </si>
  <si>
    <t>Cameron</t>
  </si>
  <si>
    <t>Cox</t>
  </si>
  <si>
    <t>www.teaneckschools.org</t>
  </si>
  <si>
    <t>Tenafly Public School District</t>
  </si>
  <si>
    <t>Shauna C.</t>
  </si>
  <si>
    <t>DeMarco</t>
  </si>
  <si>
    <t>sdemarco@tenafly.k12.nj.us</t>
  </si>
  <si>
    <t>500 TENAFLY ROAD</t>
  </si>
  <si>
    <t>TENAFLY</t>
  </si>
  <si>
    <t>07670-1796</t>
  </si>
  <si>
    <t>201-816-4501</t>
  </si>
  <si>
    <t>Nardino</t>
  </si>
  <si>
    <t>Bassett</t>
  </si>
  <si>
    <t>Caputo</t>
  </si>
  <si>
    <t>www.tenaflyschools.org</t>
  </si>
  <si>
    <t>Upper Saddle River School District</t>
  </si>
  <si>
    <t>Brad</t>
  </si>
  <si>
    <t>Siegel</t>
  </si>
  <si>
    <t>bsiegel@usrschoolsk8.com</t>
  </si>
  <si>
    <t>395 West Saddle River Road</t>
  </si>
  <si>
    <t>Upper Saddle River</t>
  </si>
  <si>
    <t>201-961-6500</t>
  </si>
  <si>
    <t>Imbasciani</t>
  </si>
  <si>
    <t>Gianna</t>
  </si>
  <si>
    <t>Apicella</t>
  </si>
  <si>
    <t>DeSocio</t>
  </si>
  <si>
    <t>Padilla</t>
  </si>
  <si>
    <t>Cazes</t>
  </si>
  <si>
    <t>Kaplan</t>
  </si>
  <si>
    <t>http://www.usrschoolsk8.com</t>
  </si>
  <si>
    <t>Waldwick School District</t>
  </si>
  <si>
    <t>Casarico</t>
  </si>
  <si>
    <t>casaricop@waldwickschools.org</t>
  </si>
  <si>
    <t>155 Summit Avenue</t>
  </si>
  <si>
    <t>Waldwick</t>
  </si>
  <si>
    <t>201-445-3131 x4114</t>
  </si>
  <si>
    <t>Ciaramella</t>
  </si>
  <si>
    <t>Hused</t>
  </si>
  <si>
    <t>Elias</t>
  </si>
  <si>
    <t>www.waldwickschools.org</t>
  </si>
  <si>
    <t>Wallington Boro School District</t>
  </si>
  <si>
    <t>Albro</t>
  </si>
  <si>
    <t>albro@wboe.org</t>
  </si>
  <si>
    <t>32 Pine Street</t>
  </si>
  <si>
    <t>Wallington</t>
  </si>
  <si>
    <t>973-777-4421 x315</t>
  </si>
  <si>
    <t>Brunacki</t>
  </si>
  <si>
    <t>Mohamed</t>
  </si>
  <si>
    <t>Mary Jane</t>
  </si>
  <si>
    <t>Machtemes</t>
  </si>
  <si>
    <t>Sondej</t>
  </si>
  <si>
    <t>Vito</t>
  </si>
  <si>
    <t>DAmelio</t>
  </si>
  <si>
    <t>www.wboe.org</t>
  </si>
  <si>
    <t>Westwood Regional School District</t>
  </si>
  <si>
    <t>ray.gonzalez@wwrsd.org</t>
  </si>
  <si>
    <t>701 RIDGEWOOD ROAD</t>
  </si>
  <si>
    <t>TOWNSHIP OF WASHINGTON</t>
  </si>
  <si>
    <t>201-664-0880 x2001</t>
  </si>
  <si>
    <t>Rosado</t>
  </si>
  <si>
    <t>Renshaw</t>
  </si>
  <si>
    <t>Naomi</t>
  </si>
  <si>
    <t>Conklin</t>
  </si>
  <si>
    <t>Mortimer</t>
  </si>
  <si>
    <t>Rightmire</t>
  </si>
  <si>
    <t>Miller</t>
  </si>
  <si>
    <t>www.wwrsd.org</t>
  </si>
  <si>
    <t>Wood-Ridge School District</t>
  </si>
  <si>
    <t>540 Windsor Road</t>
  </si>
  <si>
    <t>Wood-Ridge</t>
  </si>
  <si>
    <t>201-933-6777  x5637</t>
  </si>
  <si>
    <t>Jenine</t>
  </si>
  <si>
    <t>Murray</t>
  </si>
  <si>
    <t>Silvia</t>
  </si>
  <si>
    <t>Raguseo</t>
  </si>
  <si>
    <t>www.wood-ridgeschools.org</t>
  </si>
  <si>
    <t>Woodcliff Lake School District</t>
  </si>
  <si>
    <t>Barbelet</t>
  </si>
  <si>
    <t>lbarbelet@woodcliff-lake.com</t>
  </si>
  <si>
    <t>134 Woodcliff Avenue</t>
  </si>
  <si>
    <t>Woodcliff Lake</t>
  </si>
  <si>
    <t>07677-8245</t>
  </si>
  <si>
    <t>201-930-5600 x250</t>
  </si>
  <si>
    <t>Lynaugh</t>
  </si>
  <si>
    <t>Ballester</t>
  </si>
  <si>
    <t>Hreno</t>
  </si>
  <si>
    <t>Fred</t>
  </si>
  <si>
    <t>Maltzan</t>
  </si>
  <si>
    <t>Andriulli</t>
  </si>
  <si>
    <t>www.woodcliff-lake.com</t>
  </si>
  <si>
    <t>Wyckoff Township Public School District</t>
  </si>
  <si>
    <t>Postma</t>
  </si>
  <si>
    <t>kpostma@wyckoffschools.org</t>
  </si>
  <si>
    <t>241 Morse Avenue</t>
  </si>
  <si>
    <t>Wyckoff</t>
  </si>
  <si>
    <t>201-848-5700 x 6555</t>
  </si>
  <si>
    <t>Debra</t>
  </si>
  <si>
    <t>Herold</t>
  </si>
  <si>
    <t>Stacey</t>
  </si>
  <si>
    <t>Linzenbold</t>
  </si>
  <si>
    <t>Grace</t>
  </si>
  <si>
    <t>Priscilla</t>
  </si>
  <si>
    <t>Jurgens</t>
  </si>
  <si>
    <t>Sheila</t>
  </si>
  <si>
    <t>McLean</t>
  </si>
  <si>
    <t>www.wyckoffps.org</t>
  </si>
  <si>
    <t>BURLINGTON</t>
  </si>
  <si>
    <t>Grayson</t>
  </si>
  <si>
    <t>Burns</t>
  </si>
  <si>
    <t>Lori</t>
  </si>
  <si>
    <t>Bond</t>
  </si>
  <si>
    <t>Benjamin Banneker Preparatory Charter School</t>
  </si>
  <si>
    <t>Wilson Jr</t>
  </si>
  <si>
    <t>rwilson@bbprepcs.com</t>
  </si>
  <si>
    <t>300 Willingboro Way</t>
  </si>
  <si>
    <t>Wilingboro</t>
  </si>
  <si>
    <t>315 Bridge Street</t>
  </si>
  <si>
    <t>Westampton</t>
  </si>
  <si>
    <t>609-531-0158</t>
  </si>
  <si>
    <t>Richardson</t>
  </si>
  <si>
    <t>Koenigsberg</t>
  </si>
  <si>
    <t>Antonio</t>
  </si>
  <si>
    <t>Mondragon</t>
  </si>
  <si>
    <t>Prince</t>
  </si>
  <si>
    <t>Burnett</t>
  </si>
  <si>
    <t>www.bannekerprep.com</t>
  </si>
  <si>
    <t>Beverly City School District</t>
  </si>
  <si>
    <t>Elizabeth</t>
  </si>
  <si>
    <t>Giacobbe</t>
  </si>
  <si>
    <t>egiacobbe@beverlycityschool.org</t>
  </si>
  <si>
    <t>601 Bentley Ave.</t>
  </si>
  <si>
    <t>Beverly</t>
  </si>
  <si>
    <t>609-387-2200</t>
  </si>
  <si>
    <t>George</t>
  </si>
  <si>
    <t>Gahles</t>
  </si>
  <si>
    <t>Carly</t>
  </si>
  <si>
    <t>Fanslau</t>
  </si>
  <si>
    <t>Lawler</t>
  </si>
  <si>
    <t>Jack</t>
  </si>
  <si>
    <t>www.beverlycityschool.org</t>
  </si>
  <si>
    <t>Bordentown Regional School District</t>
  </si>
  <si>
    <t>Forsthoffer</t>
  </si>
  <si>
    <t>eforsthoffer@bordentown.k12.nj.us</t>
  </si>
  <si>
    <t>318 Ward Avenue</t>
  </si>
  <si>
    <t>Bordentown</t>
  </si>
  <si>
    <t>609-298-0025</t>
  </si>
  <si>
    <t>Chifonda`</t>
  </si>
  <si>
    <t>Henry</t>
  </si>
  <si>
    <t>Bekarciak</t>
  </si>
  <si>
    <t>Helen</t>
  </si>
  <si>
    <t>Geiger</t>
  </si>
  <si>
    <t>Teresa</t>
  </si>
  <si>
    <t>Hough</t>
  </si>
  <si>
    <t>www.bordentown.k12.nj.us</t>
  </si>
  <si>
    <t>Burlington City Public School District</t>
  </si>
  <si>
    <t>Russell</t>
  </si>
  <si>
    <t>jrussell@burlington-nj.net</t>
  </si>
  <si>
    <t>550 High Street</t>
  </si>
  <si>
    <t>Burlington</t>
  </si>
  <si>
    <t>518 Locust Avenue</t>
  </si>
  <si>
    <t>609-387-5874</t>
  </si>
  <si>
    <t>Coxe</t>
  </si>
  <si>
    <t>Scapellato</t>
  </si>
  <si>
    <t>Carol</t>
  </si>
  <si>
    <t>Kiedaisch</t>
  </si>
  <si>
    <t>Zavada</t>
  </si>
  <si>
    <t>http://www.burlington-nj.net/</t>
  </si>
  <si>
    <t>Burlington County Institute of Technology School District</t>
  </si>
  <si>
    <t>Nagy</t>
  </si>
  <si>
    <t>cnagy@burlcoschools.org</t>
  </si>
  <si>
    <t>2 Academy Drive</t>
  </si>
  <si>
    <t xml:space="preserve">Suite 111 </t>
  </si>
  <si>
    <t>08060-3826</t>
  </si>
  <si>
    <t>695 Woodlane Road</t>
  </si>
  <si>
    <t>609-267-4226</t>
  </si>
  <si>
    <t>Willmott</t>
  </si>
  <si>
    <t>Reigelsperger</t>
  </si>
  <si>
    <t>Ashanti</t>
  </si>
  <si>
    <t>Holley</t>
  </si>
  <si>
    <t>Van Laeys</t>
  </si>
  <si>
    <t>Veldon</t>
  </si>
  <si>
    <t>www.burlcoschools.org</t>
  </si>
  <si>
    <t>Burlington County Special Services School District</t>
  </si>
  <si>
    <t>20 PIONEER BLVD.</t>
  </si>
  <si>
    <t>WESTAMPTON</t>
  </si>
  <si>
    <t>08060-3824</t>
  </si>
  <si>
    <t>609-261-5600 x2200</t>
  </si>
  <si>
    <t>Wilmott</t>
  </si>
  <si>
    <t>Jacquelene</t>
  </si>
  <si>
    <t>O'Brien</t>
  </si>
  <si>
    <t>Varga</t>
  </si>
  <si>
    <t>Tara</t>
  </si>
  <si>
    <t>Mellace</t>
  </si>
  <si>
    <t>www.bcsssd.k12.nj.us</t>
  </si>
  <si>
    <t>Burlington Township School District</t>
  </si>
  <si>
    <t>Mary Ann</t>
  </si>
  <si>
    <t>Bell</t>
  </si>
  <si>
    <t>mbell@burltwpsch.org</t>
  </si>
  <si>
    <t>710 Jacksonville Road</t>
  </si>
  <si>
    <t xml:space="preserve">Hopkins Building </t>
  </si>
  <si>
    <t>P.O. Box 428</t>
  </si>
  <si>
    <t>609-387-3955 x2057</t>
  </si>
  <si>
    <t>Bice</t>
  </si>
  <si>
    <t>Giannotti</t>
  </si>
  <si>
    <t>Rafe</t>
  </si>
  <si>
    <t>Vecere</t>
  </si>
  <si>
    <t>Katina</t>
  </si>
  <si>
    <t>www.burltwpsch.org</t>
  </si>
  <si>
    <t>Chesterfield Township School District</t>
  </si>
  <si>
    <t>Heino</t>
  </si>
  <si>
    <t>sheino@chesterfieldschool.com</t>
  </si>
  <si>
    <t>30 Saddle Way</t>
  </si>
  <si>
    <t>Chesterfield</t>
  </si>
  <si>
    <t>609-298-6900 x1229</t>
  </si>
  <si>
    <t>Polo</t>
  </si>
  <si>
    <t>Coletta</t>
  </si>
  <si>
    <t>Graham</t>
  </si>
  <si>
    <t>www.chesterfieldschool.com</t>
  </si>
  <si>
    <t>Cinnaminson Township School District</t>
  </si>
  <si>
    <t>Cappello</t>
  </si>
  <si>
    <t>cappellos@cinnaminson.com</t>
  </si>
  <si>
    <t>2195 RIVERTON ROAD</t>
  </si>
  <si>
    <t>CINNAMINSON</t>
  </si>
  <si>
    <t>08077-3729</t>
  </si>
  <si>
    <t>856-829-7600 x2102</t>
  </si>
  <si>
    <t>Egan</t>
  </si>
  <si>
    <t>Darlene</t>
  </si>
  <si>
    <t>Llewellyn</t>
  </si>
  <si>
    <t>Franklin</t>
  </si>
  <si>
    <t>Goulburn</t>
  </si>
  <si>
    <t>www.cinnaminson.com</t>
  </si>
  <si>
    <t>Delanco Township School District</t>
  </si>
  <si>
    <t>Mersinger</t>
  </si>
  <si>
    <t>jmersinger@delanco.com</t>
  </si>
  <si>
    <t>1301 Burlington Avenue</t>
  </si>
  <si>
    <t>Delanco</t>
  </si>
  <si>
    <t>856-461-1905</t>
  </si>
  <si>
    <t>LaSalle</t>
  </si>
  <si>
    <t>Mersinter</t>
  </si>
  <si>
    <t>Casey</t>
  </si>
  <si>
    <t>Noble</t>
  </si>
  <si>
    <t>Albert</t>
  </si>
  <si>
    <t>Pineiro</t>
  </si>
  <si>
    <t>www.delanco.com</t>
  </si>
  <si>
    <t>Delran Township School District</t>
  </si>
  <si>
    <t>Brotschul</t>
  </si>
  <si>
    <t>bbrotschul@delranschools.org</t>
  </si>
  <si>
    <t>52 Hartford Road</t>
  </si>
  <si>
    <t>Delran</t>
  </si>
  <si>
    <t>856-461-6800 x 1002</t>
  </si>
  <si>
    <t>Cande</t>
  </si>
  <si>
    <t>Kristoff</t>
  </si>
  <si>
    <t>Della Vecchia</t>
  </si>
  <si>
    <t>DeSimone</t>
  </si>
  <si>
    <t>Joel</t>
  </si>
  <si>
    <t>Deanley</t>
  </si>
  <si>
    <t>Davenport</t>
  </si>
  <si>
    <t>www.delranschools.org</t>
  </si>
  <si>
    <t>Eastampton Township School District</t>
  </si>
  <si>
    <t>Ambrose</t>
  </si>
  <si>
    <t>Duckett III</t>
  </si>
  <si>
    <t>aduckett@etsdnj.us</t>
  </si>
  <si>
    <t>1 Student Drive</t>
  </si>
  <si>
    <t>Eastampton</t>
  </si>
  <si>
    <t>08060-5411</t>
  </si>
  <si>
    <t>609-267-9172 x111</t>
  </si>
  <si>
    <t>Austin</t>
  </si>
  <si>
    <t>Eagles</t>
  </si>
  <si>
    <t>Herman</t>
  </si>
  <si>
    <t>Brianna</t>
  </si>
  <si>
    <t>Rucci</t>
  </si>
  <si>
    <t>Kelley</t>
  </si>
  <si>
    <t>www.etsdnj.us</t>
  </si>
  <si>
    <t>Edgewater Park Township School District</t>
  </si>
  <si>
    <t>Roy</t>
  </si>
  <si>
    <t>Rakszawski</t>
  </si>
  <si>
    <t>rrakszawski@edgewaterparksd.org</t>
  </si>
  <si>
    <t>25 Washington Avenue</t>
  </si>
  <si>
    <t>Edgewater Park</t>
  </si>
  <si>
    <t>609-877-2124 x3003</t>
  </si>
  <si>
    <t>Nancy</t>
  </si>
  <si>
    <t>Lane</t>
  </si>
  <si>
    <t>Inverso Vogt</t>
  </si>
  <si>
    <t>Lestino</t>
  </si>
  <si>
    <t>Pam</t>
  </si>
  <si>
    <t>Ron</t>
  </si>
  <si>
    <t>Trampe</t>
  </si>
  <si>
    <t>www.edgewaterparksd.org</t>
  </si>
  <si>
    <t>Evesham Township School District</t>
  </si>
  <si>
    <t>Smithj@evesham.k12.nj.us</t>
  </si>
  <si>
    <t>25 S. Maple Avenue</t>
  </si>
  <si>
    <t>Marlton</t>
  </si>
  <si>
    <t>856-983-1800 x5012</t>
  </si>
  <si>
    <t>Recchinti</t>
  </si>
  <si>
    <t>Espenberg</t>
  </si>
  <si>
    <t>Magulick</t>
  </si>
  <si>
    <t>Collins</t>
  </si>
  <si>
    <t>Summers</t>
  </si>
  <si>
    <t>www.evesham.k12.nj.us</t>
  </si>
  <si>
    <t>Florence Township School District</t>
  </si>
  <si>
    <t>Ambrosius</t>
  </si>
  <si>
    <t>dambrosius@florence.k12.nj.us</t>
  </si>
  <si>
    <t>201 Cedar Street</t>
  </si>
  <si>
    <t>Florence</t>
  </si>
  <si>
    <t>609-499-4600</t>
  </si>
  <si>
    <t>Livengood</t>
  </si>
  <si>
    <t>Butler</t>
  </si>
  <si>
    <t>Fazekas</t>
  </si>
  <si>
    <t>Mukesh</t>
  </si>
  <si>
    <t>Gupta</t>
  </si>
  <si>
    <t>www.florence.k12.nj.us</t>
  </si>
  <si>
    <t>Hainesport Township School District</t>
  </si>
  <si>
    <t>Corn</t>
  </si>
  <si>
    <t>jcorn@hainesport.k12.nj.us</t>
  </si>
  <si>
    <t>211 Broad St.</t>
  </si>
  <si>
    <t>Hainesport</t>
  </si>
  <si>
    <t>P. O. Box 538</t>
  </si>
  <si>
    <t>609-265-8050 x 207</t>
  </si>
  <si>
    <t>Salls</t>
  </si>
  <si>
    <t>Simonet</t>
  </si>
  <si>
    <t>Wenz</t>
  </si>
  <si>
    <t>www.hainesport.k12.nj.us</t>
  </si>
  <si>
    <t>Lenape Regional High School District</t>
  </si>
  <si>
    <t>Birnbohm</t>
  </si>
  <si>
    <t>cbirnbohm@lrhsd.org</t>
  </si>
  <si>
    <t>93 Willow Grove Road</t>
  </si>
  <si>
    <t>Shamong</t>
  </si>
  <si>
    <t>609-268-2000 x- 5546</t>
  </si>
  <si>
    <t>Constance</t>
  </si>
  <si>
    <t>Stewart</t>
  </si>
  <si>
    <t>Piserchia</t>
  </si>
  <si>
    <t>Webb</t>
  </si>
  <si>
    <t>Callinan</t>
  </si>
  <si>
    <t>Drew</t>
  </si>
  <si>
    <t>Potter</t>
  </si>
  <si>
    <t>Jim</t>
  </si>
  <si>
    <t>Kehoe</t>
  </si>
  <si>
    <t>www.lrhsd.org</t>
  </si>
  <si>
    <t>Lumberton Township Board of Education</t>
  </si>
  <si>
    <t>Langowski</t>
  </si>
  <si>
    <t>jlangowski@lumberton.k12.nj.us</t>
  </si>
  <si>
    <t>33 Municipal Drive</t>
  </si>
  <si>
    <t>Lumberton</t>
  </si>
  <si>
    <t>609-265-7709 x6614</t>
  </si>
  <si>
    <t>Leung</t>
  </si>
  <si>
    <t>Caryn</t>
  </si>
  <si>
    <t>Zweben</t>
  </si>
  <si>
    <t>Pease</t>
  </si>
  <si>
    <t>Berner</t>
  </si>
  <si>
    <t>Tom</t>
  </si>
  <si>
    <t>Jospeh</t>
  </si>
  <si>
    <t>www.lumberton.k12.nj.us</t>
  </si>
  <si>
    <t>Mansfield Township School District</t>
  </si>
  <si>
    <t>Tiffany</t>
  </si>
  <si>
    <t>Moutis</t>
  </si>
  <si>
    <t>tmoutis@mansfieldschool.com</t>
  </si>
  <si>
    <t>200 Mansfied Road East</t>
  </si>
  <si>
    <t>Columbus</t>
  </si>
  <si>
    <t>609-298-2037 x2000</t>
  </si>
  <si>
    <t>Morolda</t>
  </si>
  <si>
    <t>Shainline</t>
  </si>
  <si>
    <t>Cullari</t>
  </si>
  <si>
    <t>Kershner</t>
  </si>
  <si>
    <t>www.mansfieldschool.com</t>
  </si>
  <si>
    <t>Maple Shade School District</t>
  </si>
  <si>
    <t>bnorcia@msemail.org</t>
  </si>
  <si>
    <t>170 Frederick Avenue</t>
  </si>
  <si>
    <t>Maple Shade</t>
  </si>
  <si>
    <t>856-779-1750 x5206</t>
  </si>
  <si>
    <t>Blake</t>
  </si>
  <si>
    <t>Monacella</t>
  </si>
  <si>
    <t>Arnauer</t>
  </si>
  <si>
    <t>Behnke</t>
  </si>
  <si>
    <t>http://www.mapleshade.org</t>
  </si>
  <si>
    <t>Medford Lakes School District</t>
  </si>
  <si>
    <t>Dent</t>
  </si>
  <si>
    <t>adent@medford-lakes.k12.nj.us</t>
  </si>
  <si>
    <t>44 Neeta Trail</t>
  </si>
  <si>
    <t>Medford Lakes</t>
  </si>
  <si>
    <t>609-654-5155 x 200</t>
  </si>
  <si>
    <t>Colling</t>
  </si>
  <si>
    <t>Summerville</t>
  </si>
  <si>
    <t>Bill</t>
  </si>
  <si>
    <t>Currier</t>
  </si>
  <si>
    <t>www.medford-lakes.k12.nj.us</t>
  </si>
  <si>
    <t>Medford Township School District</t>
  </si>
  <si>
    <t>Del Rossi</t>
  </si>
  <si>
    <t>jdelrossi@medford.k12.nj.us</t>
  </si>
  <si>
    <t>137 Hartford Road</t>
  </si>
  <si>
    <t>Medford</t>
  </si>
  <si>
    <t>08055-2371</t>
  </si>
  <si>
    <t>609-654-6416</t>
  </si>
  <si>
    <t>Goodwin</t>
  </si>
  <si>
    <t>Gale</t>
  </si>
  <si>
    <t>Ferraro</t>
  </si>
  <si>
    <t>Damon</t>
  </si>
  <si>
    <t>Shaun</t>
  </si>
  <si>
    <t>Gray</t>
  </si>
  <si>
    <t>www.medford.k12.nj.us</t>
  </si>
  <si>
    <t>Moorestown Township Public School District</t>
  </si>
  <si>
    <t>McCartney</t>
  </si>
  <si>
    <t>Smccartney@mtps.com</t>
  </si>
  <si>
    <t>803 North Stanwick Road</t>
  </si>
  <si>
    <t>Moorestown</t>
  </si>
  <si>
    <t>856-778-6600 x18001</t>
  </si>
  <si>
    <t>Heiser</t>
  </si>
  <si>
    <t>Tate</t>
  </si>
  <si>
    <t>DAscenzo</t>
  </si>
  <si>
    <t>DAmbra</t>
  </si>
  <si>
    <t>Arey</t>
  </si>
  <si>
    <t>Carter</t>
  </si>
  <si>
    <t>www.mtps.com</t>
  </si>
  <si>
    <t>Mount Holly Township Public School District</t>
  </si>
  <si>
    <t>Mungo</t>
  </si>
  <si>
    <t>rmungo@mtholly.k12.nj.us</t>
  </si>
  <si>
    <t>331 Levis Drive</t>
  </si>
  <si>
    <t>Mt. Holly</t>
  </si>
  <si>
    <t>609-267-7108</t>
  </si>
  <si>
    <t>Evon</t>
  </si>
  <si>
    <t>DiGangi</t>
  </si>
  <si>
    <t>Tifanie</t>
  </si>
  <si>
    <t>Pierce</t>
  </si>
  <si>
    <t>Finn</t>
  </si>
  <si>
    <t>Amie</t>
  </si>
  <si>
    <t>Dougherty</t>
  </si>
  <si>
    <t>www.mtholly.k12.nj.us</t>
  </si>
  <si>
    <t>Mount Laurel Township School District</t>
  </si>
  <si>
    <t>Rafferty</t>
  </si>
  <si>
    <t>grafferty@mtlaurelschools.org</t>
  </si>
  <si>
    <t>330 Mount Laurel Road</t>
  </si>
  <si>
    <t>Mount Laurel</t>
  </si>
  <si>
    <t>856-235-3387 x3015</t>
  </si>
  <si>
    <t>Wachter</t>
  </si>
  <si>
    <t>Willard</t>
  </si>
  <si>
    <t>Neiman</t>
  </si>
  <si>
    <t>Micheal</t>
  </si>
  <si>
    <t>Bergonzoni</t>
  </si>
  <si>
    <t>mtlaurelschools.org</t>
  </si>
  <si>
    <t>New Hanover Township</t>
  </si>
  <si>
    <t>Larkin</t>
  </si>
  <si>
    <t>slarkin@newhanover.k12.nj.us</t>
  </si>
  <si>
    <t>122 Fort Dix Street</t>
  </si>
  <si>
    <t>Wrightstown</t>
  </si>
  <si>
    <t>609-723-2139 x114</t>
  </si>
  <si>
    <t>Eloi</t>
  </si>
  <si>
    <t>Bramley</t>
  </si>
  <si>
    <t>Yanda</t>
  </si>
  <si>
    <t>McMenamin</t>
  </si>
  <si>
    <t>http://newhanover.k12.nj.us</t>
  </si>
  <si>
    <t>North Hanover Township School District</t>
  </si>
  <si>
    <t>Payne</t>
  </si>
  <si>
    <t>hpayne@nhanover.com</t>
  </si>
  <si>
    <t>331 Monmouth Road</t>
  </si>
  <si>
    <t>08562-2127</t>
  </si>
  <si>
    <t>609-738-2600</t>
  </si>
  <si>
    <t>Amy</t>
  </si>
  <si>
    <t>Grenger</t>
  </si>
  <si>
    <t>Jimmy</t>
  </si>
  <si>
    <t>Rachel</t>
  </si>
  <si>
    <t>Lella</t>
  </si>
  <si>
    <t>Takakjy</t>
  </si>
  <si>
    <t>www.nhanover.com</t>
  </si>
  <si>
    <t>Northern Burlington County Regional School District</t>
  </si>
  <si>
    <t>Sarruda</t>
  </si>
  <si>
    <t>jsarruda@nburlington.com</t>
  </si>
  <si>
    <t>160 Mansfield Road East</t>
  </si>
  <si>
    <t>609-298-3900 x2006</t>
  </si>
  <si>
    <t>Kaz</t>
  </si>
  <si>
    <t>Holly</t>
  </si>
  <si>
    <t>Post</t>
  </si>
  <si>
    <t>Caitlin</t>
  </si>
  <si>
    <t>Mallory</t>
  </si>
  <si>
    <t>Stella</t>
  </si>
  <si>
    <t>Konowicz</t>
  </si>
  <si>
    <t>www.nburlington.com</t>
  </si>
  <si>
    <t>Palmyra Public School District</t>
  </si>
  <si>
    <t>McBride</t>
  </si>
  <si>
    <t>bmcbride@palmyra.k12.nj.us</t>
  </si>
  <si>
    <t>301 Delaware Avenue</t>
  </si>
  <si>
    <t>Palmyra</t>
  </si>
  <si>
    <t>856-786-9300 x1013</t>
  </si>
  <si>
    <t>Blatchley</t>
  </si>
  <si>
    <t>Lianne</t>
  </si>
  <si>
    <t>Kane</t>
  </si>
  <si>
    <t>Holloway</t>
  </si>
  <si>
    <t>Saia</t>
  </si>
  <si>
    <t>Ritchie</t>
  </si>
  <si>
    <t>http://palmyraschools.com/</t>
  </si>
  <si>
    <t>Pemberton Township School District</t>
  </si>
  <si>
    <t>Havers</t>
  </si>
  <si>
    <t>jhavers@pemb.org</t>
  </si>
  <si>
    <t>1 Egbert St.</t>
  </si>
  <si>
    <t>609-893-8141 x 1003</t>
  </si>
  <si>
    <t>Lina</t>
  </si>
  <si>
    <t>Giannetti</t>
  </si>
  <si>
    <t>Rita</t>
  </si>
  <si>
    <t>Procopio</t>
  </si>
  <si>
    <t>Bowen</t>
  </si>
  <si>
    <t>www.pemberton.k12.nj.us</t>
  </si>
  <si>
    <t>Rancocas Valley Regional High School District</t>
  </si>
  <si>
    <t>Heilig</t>
  </si>
  <si>
    <t>cheilig@rvrhs.com</t>
  </si>
  <si>
    <t>520 Jacksonville Road</t>
  </si>
  <si>
    <t>Mount Holly</t>
  </si>
  <si>
    <t>609-267-0830 x3206</t>
  </si>
  <si>
    <t>Giovanelli</t>
  </si>
  <si>
    <t>Bowker</t>
  </si>
  <si>
    <t>Wence</t>
  </si>
  <si>
    <t>Aleng</t>
  </si>
  <si>
    <t>Phommathep</t>
  </si>
  <si>
    <t>www.rvrhs.com</t>
  </si>
  <si>
    <t>Riverbank Charter School of Excellence</t>
  </si>
  <si>
    <t>kelley@riverbank.charter.k12.nj.us</t>
  </si>
  <si>
    <t>1300 Hornberger Ave</t>
  </si>
  <si>
    <t>Roebling</t>
  </si>
  <si>
    <t>609-499-4321</t>
  </si>
  <si>
    <t>Pontoriero</t>
  </si>
  <si>
    <t>Debbie</t>
  </si>
  <si>
    <t>http://riverbank.charter.k12.nj.us</t>
  </si>
  <si>
    <t>Riverside Township School District</t>
  </si>
  <si>
    <t>Ehrich</t>
  </si>
  <si>
    <t>rehrich@riverside.k12.nj.us</t>
  </si>
  <si>
    <t>112 East Washington Street</t>
  </si>
  <si>
    <t>Riverside</t>
  </si>
  <si>
    <t>856-461-1255 x1111</t>
  </si>
  <si>
    <t>Jodi</t>
  </si>
  <si>
    <t>Lennon</t>
  </si>
  <si>
    <t>Swenson</t>
  </si>
  <si>
    <t>Cardie</t>
  </si>
  <si>
    <t>Gazaway</t>
  </si>
  <si>
    <t>www.riverside.k12.nj.us</t>
  </si>
  <si>
    <t>Riverton School District</t>
  </si>
  <si>
    <t>Mary Ellen</t>
  </si>
  <si>
    <t>Eck</t>
  </si>
  <si>
    <t>meck@riverton.k12.nj.us</t>
  </si>
  <si>
    <t>600 Fifth Street</t>
  </si>
  <si>
    <t xml:space="preserve">Riverton School </t>
  </si>
  <si>
    <t>Riverton</t>
  </si>
  <si>
    <t>Riverton School</t>
  </si>
  <si>
    <t>856-829-0087</t>
  </si>
  <si>
    <t>Nikolas</t>
  </si>
  <si>
    <t>Vrettos</t>
  </si>
  <si>
    <t>Lorna</t>
  </si>
  <si>
    <t>Sciarrotta</t>
  </si>
  <si>
    <t>www.riverton.k12.nj.us</t>
  </si>
  <si>
    <t>Shamong Township School District</t>
  </si>
  <si>
    <t>Vespe</t>
  </si>
  <si>
    <t>cvespe@shamongschools.org</t>
  </si>
  <si>
    <t>295 Indian Mills Road</t>
  </si>
  <si>
    <t>Archer</t>
  </si>
  <si>
    <t>Thurston</t>
  </si>
  <si>
    <t>Heidi</t>
  </si>
  <si>
    <t>Fuller</t>
  </si>
  <si>
    <t>Vaux</t>
  </si>
  <si>
    <t>Nelson</t>
  </si>
  <si>
    <t>Vasquez III</t>
  </si>
  <si>
    <t>www.shamongschools.org</t>
  </si>
  <si>
    <t>Southampton Township School District</t>
  </si>
  <si>
    <t>Betty L. Wright Administration Building</t>
  </si>
  <si>
    <t xml:space="preserve">177 Main Street </t>
  </si>
  <si>
    <t>Southampton</t>
  </si>
  <si>
    <t>08088-8874</t>
  </si>
  <si>
    <t>177 Main Street</t>
  </si>
  <si>
    <t>609-859-2256 x127</t>
  </si>
  <si>
    <t>DeJoseph</t>
  </si>
  <si>
    <t>Andrews</t>
  </si>
  <si>
    <t>Asia</t>
  </si>
  <si>
    <t>www.southampton.k12.nj.us</t>
  </si>
  <si>
    <t>Springfield Township School District</t>
  </si>
  <si>
    <t>Vaughn</t>
  </si>
  <si>
    <t>cvaughn@springfieldschool.org</t>
  </si>
  <si>
    <t>2146 Jacksonville-Jobstown Rd</t>
  </si>
  <si>
    <t>Jobstown</t>
  </si>
  <si>
    <t>609-723-2479 x104</t>
  </si>
  <si>
    <t>Tarvin-Griffith</t>
  </si>
  <si>
    <t>Rene</t>
  </si>
  <si>
    <t>www.springfieldschool.org</t>
  </si>
  <si>
    <t>Tabernacle Township School District</t>
  </si>
  <si>
    <t>Banin</t>
  </si>
  <si>
    <t>banins@tabschools.org</t>
  </si>
  <si>
    <t>132 New Road</t>
  </si>
  <si>
    <t>Tabernacle</t>
  </si>
  <si>
    <t>609-268-0153 x 1011</t>
  </si>
  <si>
    <t>McKeen</t>
  </si>
  <si>
    <t>Santoro</t>
  </si>
  <si>
    <t>Gallagher</t>
  </si>
  <si>
    <t>Calderwood</t>
  </si>
  <si>
    <t>www.tabschools.org</t>
  </si>
  <si>
    <t>Washington Township School District</t>
  </si>
  <si>
    <t>2434 Rt. 563</t>
  </si>
  <si>
    <t>Egg Harbor</t>
  </si>
  <si>
    <t>Tracey</t>
  </si>
  <si>
    <t>Domena-McDermott</t>
  </si>
  <si>
    <t>Charlotte</t>
  </si>
  <si>
    <t>Zacker</t>
  </si>
  <si>
    <t>Lesher</t>
  </si>
  <si>
    <t>www.wtgreenbank.k12.nj.us</t>
  </si>
  <si>
    <t>Westampton Township Public School District</t>
  </si>
  <si>
    <t>Petruzzelli</t>
  </si>
  <si>
    <t>apetruzzelli@westamptonschools.org</t>
  </si>
  <si>
    <t>700 Rancocas Road</t>
  </si>
  <si>
    <t>609-267-2053 x1505</t>
  </si>
  <si>
    <t>Stratton</t>
  </si>
  <si>
    <t>Jean</t>
  </si>
  <si>
    <t>Zitter</t>
  </si>
  <si>
    <t>Browning</t>
  </si>
  <si>
    <t>Feldman</t>
  </si>
  <si>
    <t>McDonnell</t>
  </si>
  <si>
    <t>www.westamptonschools.org</t>
  </si>
  <si>
    <t>Willingboro Public School District</t>
  </si>
  <si>
    <t>Neely</t>
  </si>
  <si>
    <t>Hackett</t>
  </si>
  <si>
    <t>nhackett@wboe.net</t>
  </si>
  <si>
    <t>440 Beverly Rancocas Road</t>
  </si>
  <si>
    <t>Willingboro</t>
  </si>
  <si>
    <t>609-835-8600 x1013</t>
  </si>
  <si>
    <t>Kelvin</t>
  </si>
  <si>
    <t>Nesmith</t>
  </si>
  <si>
    <t>Shavonne</t>
  </si>
  <si>
    <t>www.willingboroschools.org</t>
  </si>
  <si>
    <t>Woodland Township School District</t>
  </si>
  <si>
    <t>Misty</t>
  </si>
  <si>
    <t>Weiss</t>
  </si>
  <si>
    <t>mweiss@woodlandboe.org</t>
  </si>
  <si>
    <t>2 John Bowker Jr. Blvd.</t>
  </si>
  <si>
    <t>Chatsworth</t>
  </si>
  <si>
    <t>PO Box 477</t>
  </si>
  <si>
    <t>609-726-1230</t>
  </si>
  <si>
    <t>Carolyn</t>
  </si>
  <si>
    <t>Fischl</t>
  </si>
  <si>
    <t>www.woodlandboe.org</t>
  </si>
  <si>
    <t>CAMDEN</t>
  </si>
  <si>
    <t>Audubon Public School District</t>
  </si>
  <si>
    <t>apdavis@audubonschools.org</t>
  </si>
  <si>
    <t>350 Edgewood Avenue</t>
  </si>
  <si>
    <t>Audubon</t>
  </si>
  <si>
    <t>856-547-1325</t>
  </si>
  <si>
    <t>Roncace</t>
  </si>
  <si>
    <t>Noelle</t>
  </si>
  <si>
    <t>Bisinger</t>
  </si>
  <si>
    <t>Buchs</t>
  </si>
  <si>
    <t>Shamus</t>
  </si>
  <si>
    <t>Carbone</t>
  </si>
  <si>
    <t>www.audubonschools.org</t>
  </si>
  <si>
    <t>Barrington School District</t>
  </si>
  <si>
    <t>Arcodia</t>
  </si>
  <si>
    <t>aarcodia@barringtonschools.net</t>
  </si>
  <si>
    <t>311 Reading Avenue</t>
  </si>
  <si>
    <t>856-547-8467</t>
  </si>
  <si>
    <t>Dutkin</t>
  </si>
  <si>
    <t>Gonnella</t>
  </si>
  <si>
    <t>Sara</t>
  </si>
  <si>
    <t>Plunkett</t>
  </si>
  <si>
    <t>McCarron</t>
  </si>
  <si>
    <t>www.barringtonschools.net</t>
  </si>
  <si>
    <t>Bellmawr Public School District</t>
  </si>
  <si>
    <t>256 Anderson Ave</t>
  </si>
  <si>
    <t>Bellmawr</t>
  </si>
  <si>
    <t>856-931-3620 x1315</t>
  </si>
  <si>
    <t>Doyle</t>
  </si>
  <si>
    <t>Sexton</t>
  </si>
  <si>
    <t>Heller</t>
  </si>
  <si>
    <t>DiBlasio</t>
  </si>
  <si>
    <t>Farinelli</t>
  </si>
  <si>
    <t>www.bellmawrschools.org</t>
  </si>
  <si>
    <t>Berlin Borough School District</t>
  </si>
  <si>
    <t>Campisi</t>
  </si>
  <si>
    <t>campisij@bcsberlin.org</t>
  </si>
  <si>
    <t>215 South Franklin Avenue</t>
  </si>
  <si>
    <t>Berlin</t>
  </si>
  <si>
    <t>856-767-0129 x 217</t>
  </si>
  <si>
    <t>O'Obrien</t>
  </si>
  <si>
    <t>Braidwood</t>
  </si>
  <si>
    <t>Joe</t>
  </si>
  <si>
    <t>Hemphill</t>
  </si>
  <si>
    <t>Kellilyn</t>
  </si>
  <si>
    <t>Mawson</t>
  </si>
  <si>
    <t>www.bcsberlin.org</t>
  </si>
  <si>
    <t>Berlin Township School District</t>
  </si>
  <si>
    <t>Edythe</t>
  </si>
  <si>
    <t>Austermuhl</t>
  </si>
  <si>
    <t>eaustermuhl@btwpschools.org</t>
  </si>
  <si>
    <t>225 Grove Avenue</t>
  </si>
  <si>
    <t>West Berlin</t>
  </si>
  <si>
    <t>856-767-9480</t>
  </si>
  <si>
    <t>Stoddart</t>
  </si>
  <si>
    <t>Rollins</t>
  </si>
  <si>
    <t>Bottley</t>
  </si>
  <si>
    <t>www.btwpschools.org</t>
  </si>
  <si>
    <t>Black Horse Pike Regional School District</t>
  </si>
  <si>
    <t>Repici</t>
  </si>
  <si>
    <t>brepici@bhprsd.org</t>
  </si>
  <si>
    <t>580 Erial Road</t>
  </si>
  <si>
    <t>Blackwood</t>
  </si>
  <si>
    <t>856-227-4106 x8001</t>
  </si>
  <si>
    <t>Tanya</t>
  </si>
  <si>
    <t>Harper</t>
  </si>
  <si>
    <t>Scully</t>
  </si>
  <si>
    <t>Baratta</t>
  </si>
  <si>
    <t>www.bhprsd.org</t>
  </si>
  <si>
    <t>Brooklawn Public School District</t>
  </si>
  <si>
    <t>Rosetti</t>
  </si>
  <si>
    <t>srosetti@alicecostello.com</t>
  </si>
  <si>
    <t>301 Haakon Road</t>
  </si>
  <si>
    <t>Brooklawn</t>
  </si>
  <si>
    <t>856-456-4039</t>
  </si>
  <si>
    <t>Moulton</t>
  </si>
  <si>
    <t>DiMattia</t>
  </si>
  <si>
    <t>www.alicecostello.com</t>
  </si>
  <si>
    <t>Camden City School District</t>
  </si>
  <si>
    <t>Katrina</t>
  </si>
  <si>
    <t>McCombs</t>
  </si>
  <si>
    <t>State District Superintendent</t>
  </si>
  <si>
    <t>kmccombs@camden.k12.nj.us</t>
  </si>
  <si>
    <t>1033 Cambridge Street</t>
  </si>
  <si>
    <t>Camden</t>
  </si>
  <si>
    <t>856-966-2040</t>
  </si>
  <si>
    <t>Trainor</t>
  </si>
  <si>
    <t>Karla</t>
  </si>
  <si>
    <t>Godette</t>
  </si>
  <si>
    <t>Allen</t>
  </si>
  <si>
    <t>WWW.CAMDEN.K12.NJ.US</t>
  </si>
  <si>
    <t>Camden County Educational Services Commission</t>
  </si>
  <si>
    <t>Del Vecchio</t>
  </si>
  <si>
    <t>ddelvecchio@camdenesc.org</t>
  </si>
  <si>
    <t>225 WHITE HORSE AVENUE</t>
  </si>
  <si>
    <t>CLEMENTON</t>
  </si>
  <si>
    <t>856-784-2100 x104</t>
  </si>
  <si>
    <t>Madden</t>
  </si>
  <si>
    <t>Hartsell</t>
  </si>
  <si>
    <t>DiMeo</t>
  </si>
  <si>
    <t>www.camdenesc.org</t>
  </si>
  <si>
    <t>Camden County Technical School District</t>
  </si>
  <si>
    <t>Fitzgerald</t>
  </si>
  <si>
    <t>pfitzgerald@ccts.net</t>
  </si>
  <si>
    <t>343 Berlin Cross Keys Road</t>
  </si>
  <si>
    <t>Sicklerville</t>
  </si>
  <si>
    <t>856-767-7000 x5401</t>
  </si>
  <si>
    <t>Kipers</t>
  </si>
  <si>
    <t>Lampman</t>
  </si>
  <si>
    <t>Sponheimer</t>
  </si>
  <si>
    <t>DiGiacobbe</t>
  </si>
  <si>
    <t>Dino</t>
  </si>
  <si>
    <t>Valentino</t>
  </si>
  <si>
    <t>www.ccts.org</t>
  </si>
  <si>
    <t>Camden Prep, Inc.</t>
  </si>
  <si>
    <t>Leger</t>
  </si>
  <si>
    <t>njschoolleads@uncommonschools.org</t>
  </si>
  <si>
    <t>1575 Mt Ephraim Ave</t>
  </si>
  <si>
    <t>Olugbenga</t>
  </si>
  <si>
    <t>Olabintan</t>
  </si>
  <si>
    <t>Abby</t>
  </si>
  <si>
    <t>Levi</t>
  </si>
  <si>
    <t>Sunita</t>
  </si>
  <si>
    <t>Yadavalli</t>
  </si>
  <si>
    <t>www.camdenprep.uncommonschools.org</t>
  </si>
  <si>
    <t>Camden's Promise Charter School</t>
  </si>
  <si>
    <t>Conway</t>
  </si>
  <si>
    <t>jconway@camdencsn.org</t>
  </si>
  <si>
    <t>879 Beideman Ave</t>
  </si>
  <si>
    <t>856-365-1000</t>
  </si>
  <si>
    <t>Richelle</t>
  </si>
  <si>
    <t>Baughn</t>
  </si>
  <si>
    <t>Hocko</t>
  </si>
  <si>
    <t>Yolanda</t>
  </si>
  <si>
    <t>Arasim</t>
  </si>
  <si>
    <t>www.promiseacademycharter.org</t>
  </si>
  <si>
    <t>Cherry Hill School District</t>
  </si>
  <si>
    <t>Meloche</t>
  </si>
  <si>
    <t>JMeloche@chclc.org</t>
  </si>
  <si>
    <t>45 Ranoldo Terrace</t>
  </si>
  <si>
    <t xml:space="preserve">PO Box 5015 </t>
  </si>
  <si>
    <t>Cherry Hill</t>
  </si>
  <si>
    <t>08034-0391</t>
  </si>
  <si>
    <t>PO Box 5015</t>
  </si>
  <si>
    <t>856-429-5600 x4309</t>
  </si>
  <si>
    <t>Shugars</t>
  </si>
  <si>
    <t>LaCoyya</t>
  </si>
  <si>
    <t>Weathington</t>
  </si>
  <si>
    <t>Faith</t>
  </si>
  <si>
    <t>Holmgren</t>
  </si>
  <si>
    <t>Plevinsky</t>
  </si>
  <si>
    <t>Saporito</t>
  </si>
  <si>
    <t>www.chclc.org</t>
  </si>
  <si>
    <t>Chesilhurst Board of Education</t>
  </si>
  <si>
    <t>511 Edwards Avenue</t>
  </si>
  <si>
    <t>Chesilhurst</t>
  </si>
  <si>
    <t>Badessa</t>
  </si>
  <si>
    <t>www.chesilhurstboe.us</t>
  </si>
  <si>
    <t>Clementon Elementary School District</t>
  </si>
  <si>
    <t>hainesk@clementon.k12.nj.us</t>
  </si>
  <si>
    <t>4 Audubon Avenue</t>
  </si>
  <si>
    <t>Clementon</t>
  </si>
  <si>
    <t>856-783-2300 x1014</t>
  </si>
  <si>
    <t>Phillips</t>
  </si>
  <si>
    <t>Jared</t>
  </si>
  <si>
    <t>Fudurich</t>
  </si>
  <si>
    <t>http://clementon.k12.nj.us</t>
  </si>
  <si>
    <t>Collingswood Public School District</t>
  </si>
  <si>
    <t>200 Lees Avenue</t>
  </si>
  <si>
    <t>Collingswood</t>
  </si>
  <si>
    <t>856-962-5700 x1002</t>
  </si>
  <si>
    <t>Beth Ann</t>
  </si>
  <si>
    <t>Whitehouse</t>
  </si>
  <si>
    <t>Winsor</t>
  </si>
  <si>
    <t>Yamamoto</t>
  </si>
  <si>
    <t>Chisholm</t>
  </si>
  <si>
    <t>Hamrick</t>
  </si>
  <si>
    <t>www.collsk12.org</t>
  </si>
  <si>
    <t>Eastern Camden County Regional School District</t>
  </si>
  <si>
    <t>Cloutier</t>
  </si>
  <si>
    <t>rcloutier@eccrsd.us</t>
  </si>
  <si>
    <t>1202 LAUREL OAK ROAD</t>
  </si>
  <si>
    <t xml:space="preserve">SUITE 201 </t>
  </si>
  <si>
    <t>VOORHEES</t>
  </si>
  <si>
    <t>PO BOX 2500</t>
  </si>
  <si>
    <t>856-346-6730  x2111</t>
  </si>
  <si>
    <t>Ken</t>
  </si>
  <si>
    <t>Verrill</t>
  </si>
  <si>
    <t>Hill</t>
  </si>
  <si>
    <t>Susko</t>
  </si>
  <si>
    <t>Phil</t>
  </si>
  <si>
    <t>Smart</t>
  </si>
  <si>
    <t>Westerby</t>
  </si>
  <si>
    <t>www.eccrsd.us</t>
  </si>
  <si>
    <t>Environment Community Opportunity (ECO) Charter School</t>
  </si>
  <si>
    <t>Dendtler</t>
  </si>
  <si>
    <t>a.dendtler@ecocharterschool.org</t>
  </si>
  <si>
    <t>817 Carpenter Street</t>
  </si>
  <si>
    <t xml:space="preserve">Bridge View Complex </t>
  </si>
  <si>
    <t>Bridge View Complex</t>
  </si>
  <si>
    <t>856-963-2627</t>
  </si>
  <si>
    <t>Bailey</t>
  </si>
  <si>
    <t>Ballard-Blair</t>
  </si>
  <si>
    <t>Widelene</t>
  </si>
  <si>
    <t>Desarmes</t>
  </si>
  <si>
    <t>Director of Student Achievement</t>
  </si>
  <si>
    <t>www.ecocharterschool.org</t>
  </si>
  <si>
    <t>Freedom Prep Charter School</t>
  </si>
  <si>
    <t>Horton</t>
  </si>
  <si>
    <t>constance.horton@democracyprep.org</t>
  </si>
  <si>
    <t>1000 Atlantic Ave</t>
  </si>
  <si>
    <t>856-962-0766</t>
  </si>
  <si>
    <t>Decker</t>
  </si>
  <si>
    <t>Joselyn</t>
  </si>
  <si>
    <t>Urena</t>
  </si>
  <si>
    <t>Lozada</t>
  </si>
  <si>
    <t>fpms.democracyprep.org</t>
  </si>
  <si>
    <t>Gibbsboro Elementary School District</t>
  </si>
  <si>
    <t>Marcellus</t>
  </si>
  <si>
    <t>jmarcellus@gibbsboroschool.org</t>
  </si>
  <si>
    <t>37 Kirkwood Rd.</t>
  </si>
  <si>
    <t>Gibbsboro</t>
  </si>
  <si>
    <t>856-783-1140 x303</t>
  </si>
  <si>
    <t>Cordery</t>
  </si>
  <si>
    <t>Barri</t>
  </si>
  <si>
    <t>Veytsman</t>
  </si>
  <si>
    <t>Backal</t>
  </si>
  <si>
    <t>www.gibbsboroschool.org</t>
  </si>
  <si>
    <t>Gloucester City Public School District</t>
  </si>
  <si>
    <t>dvespe@gcsd.k12.nj.us</t>
  </si>
  <si>
    <t>1300 Market Street</t>
  </si>
  <si>
    <t>Gloucester City</t>
  </si>
  <si>
    <t>856-456-7000 x 2166</t>
  </si>
  <si>
    <t>Eliza</t>
  </si>
  <si>
    <t>Rawley</t>
  </si>
  <si>
    <t>O'Kane</t>
  </si>
  <si>
    <t>Kauffmann</t>
  </si>
  <si>
    <t>gcsd.k12.nj.us</t>
  </si>
  <si>
    <t>Gloucester Township Public Schools</t>
  </si>
  <si>
    <t>Bilodeau</t>
  </si>
  <si>
    <t>jbilodeau@gloucestertownshipschools.org</t>
  </si>
  <si>
    <t>17 Erial Road</t>
  </si>
  <si>
    <t>856-227-1400 x2001</t>
  </si>
  <si>
    <t>Grassia</t>
  </si>
  <si>
    <t>Violet</t>
  </si>
  <si>
    <t>Martin</t>
  </si>
  <si>
    <t>Orlando</t>
  </si>
  <si>
    <t>Mercado</t>
  </si>
  <si>
    <t>Trow</t>
  </si>
  <si>
    <t>Grubb</t>
  </si>
  <si>
    <t>www.gloucestertownshipschools.org</t>
  </si>
  <si>
    <t>HADDON HEIGHTS School District</t>
  </si>
  <si>
    <t>kitchmirer@hhsd.k12.nj.us</t>
  </si>
  <si>
    <t>316-A SEVENTH AVE</t>
  </si>
  <si>
    <t>HADDON HEIGHTS</t>
  </si>
  <si>
    <t>856-547-1412 x1204</t>
  </si>
  <si>
    <t>Jocqueline</t>
  </si>
  <si>
    <t>Renner</t>
  </si>
  <si>
    <t>Cramp</t>
  </si>
  <si>
    <t>Mendenhall</t>
  </si>
  <si>
    <t>www.hhsd.k12.nj.us</t>
  </si>
  <si>
    <t>Haddon Township School District</t>
  </si>
  <si>
    <t>Fisicaro</t>
  </si>
  <si>
    <t>rfisicaro@htsd.us</t>
  </si>
  <si>
    <t>500 RHOADS AVENUE</t>
  </si>
  <si>
    <t>WESTMONT</t>
  </si>
  <si>
    <t>08108-3398</t>
  </si>
  <si>
    <t>856-869-7700</t>
  </si>
  <si>
    <t>JENNIFER</t>
  </si>
  <si>
    <t>GAULD</t>
  </si>
  <si>
    <t>DANA</t>
  </si>
  <si>
    <t>COTTER</t>
  </si>
  <si>
    <t>Greway</t>
  </si>
  <si>
    <t>Green</t>
  </si>
  <si>
    <t>Schwab</t>
  </si>
  <si>
    <t>HADDONTWPSCHOOLS.COM</t>
  </si>
  <si>
    <t>Haddonfield School District</t>
  </si>
  <si>
    <t>Klaus</t>
  </si>
  <si>
    <t>cklaus@haddonfield.k12.nj.us</t>
  </si>
  <si>
    <t>1 Lincoln Avenue</t>
  </si>
  <si>
    <t>Haddonfield</t>
  </si>
  <si>
    <t>856-429-7510</t>
  </si>
  <si>
    <t>Catalano</t>
  </si>
  <si>
    <t>Carmen</t>
  </si>
  <si>
    <t>Sandra</t>
  </si>
  <si>
    <t>Horwitz</t>
  </si>
  <si>
    <t>haddonfield.k12.nj.us</t>
  </si>
  <si>
    <t>Hi Nella</t>
  </si>
  <si>
    <t>Attanasi</t>
  </si>
  <si>
    <t>attanasit@stratford.k12.nj.us</t>
  </si>
  <si>
    <t>111 Warwick Road</t>
  </si>
  <si>
    <t>Stratford</t>
  </si>
  <si>
    <t>Sarah</t>
  </si>
  <si>
    <t>Devon</t>
  </si>
  <si>
    <t>Schafer</t>
  </si>
  <si>
    <t>Speechley</t>
  </si>
  <si>
    <t>stratford.k12.nj.us</t>
  </si>
  <si>
    <t>Hope Community Charter School</t>
  </si>
  <si>
    <t>Ruiz</t>
  </si>
  <si>
    <t>ruiz@hopecommunitycharter.org</t>
  </si>
  <si>
    <t>836 S. 4th Street</t>
  </si>
  <si>
    <t>856-379-3448</t>
  </si>
  <si>
    <t>Johnston</t>
  </si>
  <si>
    <t>Ashli</t>
  </si>
  <si>
    <t>Jaep</t>
  </si>
  <si>
    <t>http://www.hopecommunitycharter.org/</t>
  </si>
  <si>
    <t>KIPP: Cooper Norcross, A New Jersey Nonprofit Corporation</t>
  </si>
  <si>
    <t>rhill@kippnj.org</t>
  </si>
  <si>
    <t>525 Clinton Street</t>
  </si>
  <si>
    <t>60 Park Place</t>
  </si>
  <si>
    <t>Suite 802</t>
  </si>
  <si>
    <t>Newark</t>
  </si>
  <si>
    <t>973-622-0905</t>
  </si>
  <si>
    <t>Small</t>
  </si>
  <si>
    <t>Ware</t>
  </si>
  <si>
    <t>Ranjana</t>
  </si>
  <si>
    <t>Reddy</t>
  </si>
  <si>
    <t>Regina</t>
  </si>
  <si>
    <t>Socrates</t>
  </si>
  <si>
    <t>Manolopoulos</t>
  </si>
  <si>
    <t>Poole</t>
  </si>
  <si>
    <t>http://www.kippnj.org</t>
  </si>
  <si>
    <t>Laurel Springs School District</t>
  </si>
  <si>
    <t>623 Grand Ave.</t>
  </si>
  <si>
    <t>Laurel Springs</t>
  </si>
  <si>
    <t>856-783-1086</t>
  </si>
  <si>
    <t>Kearney</t>
  </si>
  <si>
    <t>McLaughlin</t>
  </si>
  <si>
    <t>Mahlman</t>
  </si>
  <si>
    <t>Cybulski</t>
  </si>
  <si>
    <t>Taron</t>
  </si>
  <si>
    <t>Leidy</t>
  </si>
  <si>
    <t>www.laurelspringschool.org</t>
  </si>
  <si>
    <t>Lawnside School Distric</t>
  </si>
  <si>
    <t>Ronn</t>
  </si>
  <si>
    <t>Johnson</t>
  </si>
  <si>
    <t>ronnjohnson@lawnside.k12.nj.us</t>
  </si>
  <si>
    <t>426   East Charleston Avenue</t>
  </si>
  <si>
    <t>Lawnside</t>
  </si>
  <si>
    <t>08045-1404</t>
  </si>
  <si>
    <t>856-546-4851</t>
  </si>
  <si>
    <t>Leary</t>
  </si>
  <si>
    <t>Lewis</t>
  </si>
  <si>
    <t>Niphon</t>
  </si>
  <si>
    <t>Kirk</t>
  </si>
  <si>
    <t>Alyssa</t>
  </si>
  <si>
    <t>Gordon</t>
  </si>
  <si>
    <t>lawnside.k12.nj.us</t>
  </si>
  <si>
    <t>LEAP Academy University Charter School</t>
  </si>
  <si>
    <t>Weaver-Rogers</t>
  </si>
  <si>
    <t>swr@leap.rutgers.edu</t>
  </si>
  <si>
    <t>130 N. Broadway</t>
  </si>
  <si>
    <t>856-614-5768</t>
  </si>
  <si>
    <t>Yusein</t>
  </si>
  <si>
    <t>Durakov</t>
  </si>
  <si>
    <t>Tugba</t>
  </si>
  <si>
    <t>Hoguet</t>
  </si>
  <si>
    <t>Leda</t>
  </si>
  <si>
    <t>Hernandez</t>
  </si>
  <si>
    <t>Benito</t>
  </si>
  <si>
    <t>Stevenson</t>
  </si>
  <si>
    <t>Pierre-Jacques</t>
  </si>
  <si>
    <t>Rivera</t>
  </si>
  <si>
    <t>www.leapacademycharter.org</t>
  </si>
  <si>
    <t>Lindenwold Public School District</t>
  </si>
  <si>
    <t>O'Neil</t>
  </si>
  <si>
    <t>koneil@lindenwold.k12.nj.us</t>
  </si>
  <si>
    <t>801 Egg Harbor Road</t>
  </si>
  <si>
    <t xml:space="preserve">Administration Bldg </t>
  </si>
  <si>
    <t>Lindenwold</t>
  </si>
  <si>
    <t>Administration Bldg</t>
  </si>
  <si>
    <t>856-784-4071</t>
  </si>
  <si>
    <t>Huder</t>
  </si>
  <si>
    <t>Torbik</t>
  </si>
  <si>
    <t>Leana</t>
  </si>
  <si>
    <t>Sykes</t>
  </si>
  <si>
    <t>Sam</t>
  </si>
  <si>
    <t>Delfino</t>
  </si>
  <si>
    <t>Brandt</t>
  </si>
  <si>
    <t>www.lindenwold.k12.nj.us</t>
  </si>
  <si>
    <t>Magnolia School District</t>
  </si>
  <si>
    <t>Macpherson</t>
  </si>
  <si>
    <t>kmacpherson@magnoliaschools.org</t>
  </si>
  <si>
    <t>420 N. Warwick Rd</t>
  </si>
  <si>
    <t>Magnolia</t>
  </si>
  <si>
    <t>08049-1399</t>
  </si>
  <si>
    <t>856-783-4763 x825</t>
  </si>
  <si>
    <t>Greg</t>
  </si>
  <si>
    <t>Gontowski</t>
  </si>
  <si>
    <t>Sorrentino</t>
  </si>
  <si>
    <t>Pontarelli</t>
  </si>
  <si>
    <t>www.magnoliaschools.org</t>
  </si>
  <si>
    <t>Mastery Schools of Camden, Inc.</t>
  </si>
  <si>
    <t>Scott.Gordon@masterynj.org</t>
  </si>
  <si>
    <t>1001 North 17th Street</t>
  </si>
  <si>
    <t>215-866-9000 x15001</t>
  </si>
  <si>
    <t>Barts</t>
  </si>
  <si>
    <t>Farruggia</t>
  </si>
  <si>
    <t>Saliyah</t>
  </si>
  <si>
    <t>Cruz</t>
  </si>
  <si>
    <t>McKnight</t>
  </si>
  <si>
    <t>Patron</t>
  </si>
  <si>
    <t>www.masterynj.org</t>
  </si>
  <si>
    <t>Merchantville School District</t>
  </si>
  <si>
    <t>Strong</t>
  </si>
  <si>
    <t>strong@merchantville.k12.nj.us</t>
  </si>
  <si>
    <t>130 S. Centre Street</t>
  </si>
  <si>
    <t>Merchantville</t>
  </si>
  <si>
    <t>856-663-1091</t>
  </si>
  <si>
    <t>Travaglini</t>
  </si>
  <si>
    <t>Tucci</t>
  </si>
  <si>
    <t>www.merchantvilleschool.org</t>
  </si>
  <si>
    <t>Mt. Ephraim School District</t>
  </si>
  <si>
    <t>Hunter</t>
  </si>
  <si>
    <t>mhunter@mtephraimschools.com</t>
  </si>
  <si>
    <t>225 W. Kings Highway</t>
  </si>
  <si>
    <t>Mt. Ephraim</t>
  </si>
  <si>
    <t xml:space="preserve">856-931-7807 </t>
  </si>
  <si>
    <t>Eberly</t>
  </si>
  <si>
    <t>Venello</t>
  </si>
  <si>
    <t>Schoepflin</t>
  </si>
  <si>
    <t>Pirolli</t>
  </si>
  <si>
    <t>www.mtephraimschools.com</t>
  </si>
  <si>
    <t>Oaklyn Public School District</t>
  </si>
  <si>
    <t>136 Kendall Blvd.</t>
  </si>
  <si>
    <t>Oaklyn</t>
  </si>
  <si>
    <t>Boulden</t>
  </si>
  <si>
    <t>www.oaklynschool.org</t>
  </si>
  <si>
    <t>Pennsauken Township Board of Education School District</t>
  </si>
  <si>
    <t>Ronnie</t>
  </si>
  <si>
    <t>Tarchichi</t>
  </si>
  <si>
    <t>ronnie.tarchichi@pennsauken.net</t>
  </si>
  <si>
    <t>1695 HYLTON ROAD</t>
  </si>
  <si>
    <t>PENNSAUKEN</t>
  </si>
  <si>
    <t>856-662-8505 x 6502</t>
  </si>
  <si>
    <t>Ogunkanmi</t>
  </si>
  <si>
    <t>McGovern</t>
  </si>
  <si>
    <t>Reising</t>
  </si>
  <si>
    <t>Mossop</t>
  </si>
  <si>
    <t>PENNSAUKEN.NET</t>
  </si>
  <si>
    <t>Pine Hill School District</t>
  </si>
  <si>
    <t>Koczur</t>
  </si>
  <si>
    <t>kkoczur@pinehillschools.org</t>
  </si>
  <si>
    <t>1003 Turnerville Road</t>
  </si>
  <si>
    <t>Pine HIll</t>
  </si>
  <si>
    <t>856-783-6900 x1114</t>
  </si>
  <si>
    <t>Piccirillo</t>
  </si>
  <si>
    <t>Francis</t>
  </si>
  <si>
    <t>Daunoras</t>
  </si>
  <si>
    <t>www.pinehill.k12.nj.us</t>
  </si>
  <si>
    <t>Pine Valley</t>
  </si>
  <si>
    <t>1 East Atlantic Ave</t>
  </si>
  <si>
    <t xml:space="preserve">Pine Valley BOE </t>
  </si>
  <si>
    <t>Pine Valley BOE</t>
  </si>
  <si>
    <t>Runnemede Public School District</t>
  </si>
  <si>
    <t>Iannucci</t>
  </si>
  <si>
    <t>miannucci@runnemedeschools.org</t>
  </si>
  <si>
    <t>24 N. Black Horse Pike - 2nd Floor</t>
  </si>
  <si>
    <t>Runnemede</t>
  </si>
  <si>
    <t>856 -931-5353 X 213</t>
  </si>
  <si>
    <t>Gladys</t>
  </si>
  <si>
    <t>Hubbard</t>
  </si>
  <si>
    <t>Maloney</t>
  </si>
  <si>
    <t>Jeanette</t>
  </si>
  <si>
    <t>Schiraldi</t>
  </si>
  <si>
    <t>www.runnemedeschools.org</t>
  </si>
  <si>
    <t>Somerdale School District</t>
  </si>
  <si>
    <t>mpease@somerdale-park.org</t>
  </si>
  <si>
    <t>301 Grace Street</t>
  </si>
  <si>
    <t>Somerdale</t>
  </si>
  <si>
    <t>856-783-2931 x801</t>
  </si>
  <si>
    <t>Rouse</t>
  </si>
  <si>
    <t>Cesare</t>
  </si>
  <si>
    <t>Ford</t>
  </si>
  <si>
    <t>Schwartz</t>
  </si>
  <si>
    <t>www.somerdale-park.org</t>
  </si>
  <si>
    <t>Sterling Regional School District</t>
  </si>
  <si>
    <t>Sheehan</t>
  </si>
  <si>
    <t>msheehan@sterling.k12.nj.us</t>
  </si>
  <si>
    <t>801 Preston Ave.</t>
  </si>
  <si>
    <t>08083-2175</t>
  </si>
  <si>
    <t>Suite B</t>
  </si>
  <si>
    <t>856-882-1186</t>
  </si>
  <si>
    <t>Sukinik</t>
  </si>
  <si>
    <t>Jarod</t>
  </si>
  <si>
    <t>Claybourn</t>
  </si>
  <si>
    <t>Robynn</t>
  </si>
  <si>
    <t>Considine</t>
  </si>
  <si>
    <t>Mays</t>
  </si>
  <si>
    <t>Redman</t>
  </si>
  <si>
    <t>www.sterling.k12.nj.us</t>
  </si>
  <si>
    <t>Stratford School District</t>
  </si>
  <si>
    <t>856-783-2555</t>
  </si>
  <si>
    <t>Trasatti</t>
  </si>
  <si>
    <t>LoSasso</t>
  </si>
  <si>
    <t>Loretta</t>
  </si>
  <si>
    <t>Kozieja</t>
  </si>
  <si>
    <t>Cuartero</t>
  </si>
  <si>
    <t>www.stratford.k12.nj.us</t>
  </si>
  <si>
    <t>Voorhees Township School District</t>
  </si>
  <si>
    <t>329 Rt. 73</t>
  </si>
  <si>
    <t>Voorhees</t>
  </si>
  <si>
    <t>856-751-8446 x6122</t>
  </si>
  <si>
    <t>Haley</t>
  </si>
  <si>
    <t>Donnelly</t>
  </si>
  <si>
    <t>Young</t>
  </si>
  <si>
    <t>Bruce</t>
  </si>
  <si>
    <t>www.voorhees.k12.nj.us</t>
  </si>
  <si>
    <t>Waterford Township School District</t>
  </si>
  <si>
    <t>Harring</t>
  </si>
  <si>
    <t>bharring@wtsd.org</t>
  </si>
  <si>
    <t>1106 Old White Horse Pike</t>
  </si>
  <si>
    <t>Waterford</t>
  </si>
  <si>
    <t>856-767-4200 x5600</t>
  </si>
  <si>
    <t>Power</t>
  </si>
  <si>
    <t>Kondas</t>
  </si>
  <si>
    <t>Lyons</t>
  </si>
  <si>
    <t>Davidson</t>
  </si>
  <si>
    <t>www.wtsd.org</t>
  </si>
  <si>
    <t>Winslow Township School District</t>
  </si>
  <si>
    <t>H Major</t>
  </si>
  <si>
    <t>Poteat</t>
  </si>
  <si>
    <t>poteathe@winslow-schools.com</t>
  </si>
  <si>
    <t>40 Cooper Folly Rd</t>
  </si>
  <si>
    <t>Atco</t>
  </si>
  <si>
    <t>856-767-2850</t>
  </si>
  <si>
    <t>Tyra</t>
  </si>
  <si>
    <t>McCoy</t>
  </si>
  <si>
    <t>Riccardi</t>
  </si>
  <si>
    <t>Dion</t>
  </si>
  <si>
    <t>Loney</t>
  </si>
  <si>
    <t>Darryl</t>
  </si>
  <si>
    <t>Carcamo</t>
  </si>
  <si>
    <t>www.winslow-schools.com</t>
  </si>
  <si>
    <t>Woodlynne School District</t>
  </si>
  <si>
    <t>Walters</t>
  </si>
  <si>
    <t>jwalters@woodlynne.k12.nj.us</t>
  </si>
  <si>
    <t>131 Elm Avenue</t>
  </si>
  <si>
    <t>Woodlynne</t>
  </si>
  <si>
    <t>856-962-8822</t>
  </si>
  <si>
    <t>Neilson</t>
  </si>
  <si>
    <t>Guy</t>
  </si>
  <si>
    <t>Hamilton</t>
  </si>
  <si>
    <t>www.woodlynne.k12.nj.us</t>
  </si>
  <si>
    <t>CAPE MAY</t>
  </si>
  <si>
    <t>Avalon School District</t>
  </si>
  <si>
    <t>LaRocca Tracy</t>
  </si>
  <si>
    <t>tracy@avesnj.org</t>
  </si>
  <si>
    <t>235 32ND STREET</t>
  </si>
  <si>
    <t>AVALON</t>
  </si>
  <si>
    <t>08202-1776</t>
  </si>
  <si>
    <t>609-967-7544 x3504</t>
  </si>
  <si>
    <t>Fiori</t>
  </si>
  <si>
    <t>Maura</t>
  </si>
  <si>
    <t>Coskey</t>
  </si>
  <si>
    <t>Alanna</t>
  </si>
  <si>
    <t>Smallwood</t>
  </si>
  <si>
    <t>Tony</t>
  </si>
  <si>
    <t>Tomasello</t>
  </si>
  <si>
    <t>Murtaugh</t>
  </si>
  <si>
    <t>www.avalonstoneharborschools.org</t>
  </si>
  <si>
    <t>Cape May City School District</t>
  </si>
  <si>
    <t>Garguilo</t>
  </si>
  <si>
    <t>rgarguilo@cmcboe.org</t>
  </si>
  <si>
    <t>921 Lafayette Street</t>
  </si>
  <si>
    <t>Cape May</t>
  </si>
  <si>
    <t>08204-1646</t>
  </si>
  <si>
    <t>609-884-8485</t>
  </si>
  <si>
    <t>Crowther</t>
  </si>
  <si>
    <t>Zachary</t>
  </si>
  <si>
    <t>Palombo</t>
  </si>
  <si>
    <t>http://www.cmcboe.org</t>
  </si>
  <si>
    <t>Cape May County Special Services School District</t>
  </si>
  <si>
    <t>Hudanich</t>
  </si>
  <si>
    <t>nhudanich@capemaytech.com</t>
  </si>
  <si>
    <t>148 Crest Haven Road</t>
  </si>
  <si>
    <t>Cape May Court House</t>
  </si>
  <si>
    <t>4 Moore Road</t>
  </si>
  <si>
    <t>DN 704</t>
  </si>
  <si>
    <t>609-380-0200 x605</t>
  </si>
  <si>
    <t>Moscony</t>
  </si>
  <si>
    <t>Price</t>
  </si>
  <si>
    <t>McCourt</t>
  </si>
  <si>
    <t>Nick</t>
  </si>
  <si>
    <t>www.cmcspecialservices.org</t>
  </si>
  <si>
    <t>Cape May County Technical High School District</t>
  </si>
  <si>
    <t>188 Crest Haven Road</t>
  </si>
  <si>
    <t>Paula</t>
  </si>
  <si>
    <t>Chelsey</t>
  </si>
  <si>
    <t>Combs</t>
  </si>
  <si>
    <t>Brittany</t>
  </si>
  <si>
    <t>Wallace</t>
  </si>
  <si>
    <t>http://www.capemaytech.com</t>
  </si>
  <si>
    <t>Cape May Point School District</t>
  </si>
  <si>
    <t>Millar</t>
  </si>
  <si>
    <t>rosemillar@comcast.net</t>
  </si>
  <si>
    <t>PO Box 143</t>
  </si>
  <si>
    <t>Cape May Point</t>
  </si>
  <si>
    <t>609-226-1128</t>
  </si>
  <si>
    <t>www.capemaycityschool.org</t>
  </si>
  <si>
    <t>Dennis Township School District</t>
  </si>
  <si>
    <t>Speirs</t>
  </si>
  <si>
    <t>sspeirs@dtschools.org</t>
  </si>
  <si>
    <t>601 HAGAN ROAD</t>
  </si>
  <si>
    <t>CLERMONT</t>
  </si>
  <si>
    <t>CAPE MAY COURT HOUSE</t>
  </si>
  <si>
    <t>609-861-2821 x118</t>
  </si>
  <si>
    <t>PAIGE</t>
  </si>
  <si>
    <t>SHARP-RUMAKER</t>
  </si>
  <si>
    <t>DiVito</t>
  </si>
  <si>
    <t>ARIANNA</t>
  </si>
  <si>
    <t>SPARANO</t>
  </si>
  <si>
    <t>VanArtsdalen</t>
  </si>
  <si>
    <t>JOHN</t>
  </si>
  <si>
    <t>MURPHY</t>
  </si>
  <si>
    <t>www.dtschools.org</t>
  </si>
  <si>
    <t>Lower Cape May Regional School District</t>
  </si>
  <si>
    <t>Castellucci</t>
  </si>
  <si>
    <t>castelluccij@lcmrschools.com</t>
  </si>
  <si>
    <t>687 Rt 9</t>
  </si>
  <si>
    <t>609-884-3475 x204</t>
  </si>
  <si>
    <t>Mallett</t>
  </si>
  <si>
    <t>Joell</t>
  </si>
  <si>
    <t>Worster</t>
  </si>
  <si>
    <t>Pete</t>
  </si>
  <si>
    <t>Daly</t>
  </si>
  <si>
    <t>Teeney</t>
  </si>
  <si>
    <t>www.lcmrschools.com</t>
  </si>
  <si>
    <t>Lower Township Elementary School District</t>
  </si>
  <si>
    <t>Samaniego</t>
  </si>
  <si>
    <t>jsamaniego@lowertwpschools.com</t>
  </si>
  <si>
    <t>905 Seashore Road</t>
  </si>
  <si>
    <t xml:space="preserve">Administration </t>
  </si>
  <si>
    <t>08204-4650</t>
  </si>
  <si>
    <t>Administration</t>
  </si>
  <si>
    <t>609-884-9400 x2603</t>
  </si>
  <si>
    <t>Hansen</t>
  </si>
  <si>
    <t>Keeler</t>
  </si>
  <si>
    <t>Sabina</t>
  </si>
  <si>
    <t>Muller</t>
  </si>
  <si>
    <t>Bowman</t>
  </si>
  <si>
    <t>www.lowertwpschools.com</t>
  </si>
  <si>
    <t>Middle Township Public School District</t>
  </si>
  <si>
    <t>Salvo</t>
  </si>
  <si>
    <t>salvod@middletwp.k12.nj.us</t>
  </si>
  <si>
    <t>216 South Main Street</t>
  </si>
  <si>
    <t>609-465-1800 x3112</t>
  </si>
  <si>
    <t>Lehman</t>
  </si>
  <si>
    <t>O Dea</t>
  </si>
  <si>
    <t>Webster</t>
  </si>
  <si>
    <t>www.middletwp.k12.nj.us</t>
  </si>
  <si>
    <t>North Wildwood School District</t>
  </si>
  <si>
    <t>Armstrong</t>
  </si>
  <si>
    <t>carmstrong@mmace.com</t>
  </si>
  <si>
    <t>1201 Atlantic Avenue</t>
  </si>
  <si>
    <t>North Wildwood</t>
  </si>
  <si>
    <t>609-522-6885</t>
  </si>
  <si>
    <t>Morey</t>
  </si>
  <si>
    <t>www.mmace.com</t>
  </si>
  <si>
    <t>Ocean City School District</t>
  </si>
  <si>
    <t>ktaylor@ocsdnj.org</t>
  </si>
  <si>
    <t>501 Atlantic Avenue</t>
  </si>
  <si>
    <t>Suite 1</t>
  </si>
  <si>
    <t>609-399-5150</t>
  </si>
  <si>
    <t>Geoffrey</t>
  </si>
  <si>
    <t>Curt</t>
  </si>
  <si>
    <t>Nath</t>
  </si>
  <si>
    <t>www.oceancityschools.org</t>
  </si>
  <si>
    <t>Sea Isle City Board of Education</t>
  </si>
  <si>
    <t>Frost</t>
  </si>
  <si>
    <t>jasonjfrost112@gmail.com</t>
  </si>
  <si>
    <t>4501 Park Road</t>
  </si>
  <si>
    <t>Sea Isle City</t>
  </si>
  <si>
    <t>609-263-8461</t>
  </si>
  <si>
    <t>www.sea-isle-city.nj.us</t>
  </si>
  <si>
    <t>Stone Harbor School District</t>
  </si>
  <si>
    <t>tracy@shesnj.org</t>
  </si>
  <si>
    <t>275 93rd Street</t>
  </si>
  <si>
    <t>Stone Harbor</t>
  </si>
  <si>
    <t>609-368-4413</t>
  </si>
  <si>
    <t>Upper Township School District</t>
  </si>
  <si>
    <t>Palmieri Jr</t>
  </si>
  <si>
    <t>palmieri@upperschools.org</t>
  </si>
  <si>
    <t>525 Perry Road</t>
  </si>
  <si>
    <t>Petersburg</t>
  </si>
  <si>
    <t>609-628-3500 x 2225</t>
  </si>
  <si>
    <t>Laurie</t>
  </si>
  <si>
    <t>Mistretta</t>
  </si>
  <si>
    <t>Barth</t>
  </si>
  <si>
    <t>Glen</t>
  </si>
  <si>
    <t>www.upperschools.org</t>
  </si>
  <si>
    <t>West Cape May School District</t>
  </si>
  <si>
    <t>rgarguilo@wcm.capemayschools.com</t>
  </si>
  <si>
    <t>301 MOORE STREET</t>
  </si>
  <si>
    <t>WEST CAPE MAY</t>
  </si>
  <si>
    <t>08204-1199</t>
  </si>
  <si>
    <t>609-884-4614</t>
  </si>
  <si>
    <t>Puerta</t>
  </si>
  <si>
    <t>McGonigle</t>
  </si>
  <si>
    <t>Paige</t>
  </si>
  <si>
    <t>Calabro</t>
  </si>
  <si>
    <t>wcm.capemayschools.com</t>
  </si>
  <si>
    <t>West Wildwood School District</t>
  </si>
  <si>
    <t>701 West Glenwood Avenue</t>
  </si>
  <si>
    <t>West Wildwood</t>
  </si>
  <si>
    <t>PO Box 1704</t>
  </si>
  <si>
    <t>Judson</t>
  </si>
  <si>
    <t>Moore</t>
  </si>
  <si>
    <t>n/a</t>
  </si>
  <si>
    <t>Wildwood City School District</t>
  </si>
  <si>
    <t>KENYON</t>
  </si>
  <si>
    <t>KUMMINGS</t>
  </si>
  <si>
    <t>JKUMMINGS@WWSCHOOLS.ORG</t>
  </si>
  <si>
    <t>4300 PACIFIC AVENUE</t>
  </si>
  <si>
    <t>WILDWOOD</t>
  </si>
  <si>
    <t>609-522-4157</t>
  </si>
  <si>
    <t>Fuscellaro</t>
  </si>
  <si>
    <t>McGaffney</t>
  </si>
  <si>
    <t>Shaw</t>
  </si>
  <si>
    <t>Heath</t>
  </si>
  <si>
    <t>Hess</t>
  </si>
  <si>
    <t>Schaffer</t>
  </si>
  <si>
    <t>https://nj02210961.schoolwires.net/</t>
  </si>
  <si>
    <t>Wildwood Crest Borough School District</t>
  </si>
  <si>
    <t>Del Conte</t>
  </si>
  <si>
    <t>ddelconte@crestmem.edu</t>
  </si>
  <si>
    <t>9100 PACIFIC AVENUE</t>
  </si>
  <si>
    <t>WILDWOOD CREST</t>
  </si>
  <si>
    <t>609-729-3760</t>
  </si>
  <si>
    <t>Lushok</t>
  </si>
  <si>
    <t>Groon</t>
  </si>
  <si>
    <t>Larry</t>
  </si>
  <si>
    <t>Lhulier</t>
  </si>
  <si>
    <t>WWW.CRESTMEM.EDU</t>
  </si>
  <si>
    <t>Woodbine School District</t>
  </si>
  <si>
    <t>DeVico</t>
  </si>
  <si>
    <t>adevico@woodbine.capemayschools.com</t>
  </si>
  <si>
    <t>801 Webster St.</t>
  </si>
  <si>
    <t>Woodbine</t>
  </si>
  <si>
    <t>609-861-5174</t>
  </si>
  <si>
    <t>Giambri</t>
  </si>
  <si>
    <t>Shawn</t>
  </si>
  <si>
    <t>Rebman</t>
  </si>
  <si>
    <t>Continisio</t>
  </si>
  <si>
    <t>Devico</t>
  </si>
  <si>
    <t>woodbineschool.com</t>
  </si>
  <si>
    <t>CUMBERLAND</t>
  </si>
  <si>
    <t>Bridgeton City School District</t>
  </si>
  <si>
    <t>Miles</t>
  </si>
  <si>
    <t>Keith.Miles@bridgeton.k12.nj.us</t>
  </si>
  <si>
    <t>41 Bank Street</t>
  </si>
  <si>
    <t>Bridgeton</t>
  </si>
  <si>
    <t>856-455-8030 x2006</t>
  </si>
  <si>
    <t>Albanese</t>
  </si>
  <si>
    <t>Eniola</t>
  </si>
  <si>
    <t>Ajayi</t>
  </si>
  <si>
    <t>Tavani</t>
  </si>
  <si>
    <t>Alix</t>
  </si>
  <si>
    <t>Denby</t>
  </si>
  <si>
    <t>www.Bridgeton.k12.nj.us</t>
  </si>
  <si>
    <t>Bridgeton Public Charter School</t>
  </si>
  <si>
    <t>Ann</t>
  </si>
  <si>
    <t>Garcia</t>
  </si>
  <si>
    <t>agarcia@cccharters.org</t>
  </si>
  <si>
    <t>790 E. Commerce Street</t>
  </si>
  <si>
    <t>1101 Wheaton ave.</t>
  </si>
  <si>
    <t>Millville</t>
  </si>
  <si>
    <t>856-691-1611</t>
  </si>
  <si>
    <t>Rob</t>
  </si>
  <si>
    <t>Charolette</t>
  </si>
  <si>
    <t>Gould</t>
  </si>
  <si>
    <t>Shawaryn</t>
  </si>
  <si>
    <t>www.bridgetonpubliccharterschool.org</t>
  </si>
  <si>
    <t>Commercial Township School District</t>
  </si>
  <si>
    <t>Schell</t>
  </si>
  <si>
    <t>kristin.schell@commercialschools.org</t>
  </si>
  <si>
    <t>1308 North Avenue</t>
  </si>
  <si>
    <t>Port Norris</t>
  </si>
  <si>
    <t>856-785-0840 x 2149</t>
  </si>
  <si>
    <t>Lavell</t>
  </si>
  <si>
    <t>Tarin</t>
  </si>
  <si>
    <t>Leech</t>
  </si>
  <si>
    <t>Zeleniak</t>
  </si>
  <si>
    <t>Alysia</t>
  </si>
  <si>
    <t>Thomson</t>
  </si>
  <si>
    <t>www.commercialschools.org</t>
  </si>
  <si>
    <t>Compass Academy Charter School</t>
  </si>
  <si>
    <t>Little</t>
  </si>
  <si>
    <t>slittle@compassacs.org</t>
  </si>
  <si>
    <t>23 W Chestnut Ave</t>
  </si>
  <si>
    <t>Vineland</t>
  </si>
  <si>
    <t>856-899-5570</t>
  </si>
  <si>
    <t>Jane</t>
  </si>
  <si>
    <t>Berger</t>
  </si>
  <si>
    <t>Wargo</t>
  </si>
  <si>
    <t>www.compassacademycharter.org</t>
  </si>
  <si>
    <t>Cumberland County Board of Vocational Education</t>
  </si>
  <si>
    <t>Rossi</t>
  </si>
  <si>
    <t>drossi@cctecnj.org</t>
  </si>
  <si>
    <t>3400 College Drive</t>
  </si>
  <si>
    <t>08360-0000</t>
  </si>
  <si>
    <t>856-451-9000 x2101</t>
  </si>
  <si>
    <t>Duffield</t>
  </si>
  <si>
    <t>Briggs</t>
  </si>
  <si>
    <t>Andres</t>
  </si>
  <si>
    <t>Celese</t>
  </si>
  <si>
    <t>Nolan</t>
  </si>
  <si>
    <t>www.cctecnj.org</t>
  </si>
  <si>
    <t>Cumberland Regional School District</t>
  </si>
  <si>
    <t>price@crhsd.org</t>
  </si>
  <si>
    <t>90 Silver Lake Road</t>
  </si>
  <si>
    <t>Harbinson</t>
  </si>
  <si>
    <t>Draggoo</t>
  </si>
  <si>
    <t>Dubois</t>
  </si>
  <si>
    <t>www.crhsd.org</t>
  </si>
  <si>
    <t>Deerfield Township School District</t>
  </si>
  <si>
    <t>drossi@deerfield.k12.nj.us</t>
  </si>
  <si>
    <t>419 MORTON AVENUE</t>
  </si>
  <si>
    <t>ROSENHAYN</t>
  </si>
  <si>
    <t>PO BOX 375</t>
  </si>
  <si>
    <t xml:space="preserve">856-451-6610 </t>
  </si>
  <si>
    <t>Melanie</t>
  </si>
  <si>
    <t>Kelli</t>
  </si>
  <si>
    <t>Manski</t>
  </si>
  <si>
    <t>Ragan</t>
  </si>
  <si>
    <t>www.deerfield.k12.nj.us</t>
  </si>
  <si>
    <t>Downe Township School District</t>
  </si>
  <si>
    <t>smiller@downeschool.org</t>
  </si>
  <si>
    <t>220 Main Street</t>
  </si>
  <si>
    <t>Newport</t>
  </si>
  <si>
    <t>856-447-3878</t>
  </si>
  <si>
    <t>DiNovi</t>
  </si>
  <si>
    <t>Eileen</t>
  </si>
  <si>
    <t>Culver</t>
  </si>
  <si>
    <t>www.downeschool.org</t>
  </si>
  <si>
    <t>Fairfield Township School District</t>
  </si>
  <si>
    <t>Knox</t>
  </si>
  <si>
    <t>mknox@fairfield.k12.nj.us</t>
  </si>
  <si>
    <t>375 Gouldtown-Woodruff Rd.</t>
  </si>
  <si>
    <t>856-453-1882</t>
  </si>
  <si>
    <t>Gerson</t>
  </si>
  <si>
    <t>Best</t>
  </si>
  <si>
    <t>Ring</t>
  </si>
  <si>
    <t>Mala</t>
  </si>
  <si>
    <t>Clayton</t>
  </si>
  <si>
    <t>www.fairfield.k12.nj.us</t>
  </si>
  <si>
    <t>Greenwich Township School District</t>
  </si>
  <si>
    <t>Brandon</t>
  </si>
  <si>
    <t>Cobb</t>
  </si>
  <si>
    <t>Brandon.cobb@MORRISGOODWINSCHOOL.ORG</t>
  </si>
  <si>
    <t>839 YE GREATE STREET</t>
  </si>
  <si>
    <t>GREENWICH</t>
  </si>
  <si>
    <t>856-455-1717</t>
  </si>
  <si>
    <t>Cherie</t>
  </si>
  <si>
    <t>Bratty</t>
  </si>
  <si>
    <t>Melinda</t>
  </si>
  <si>
    <t>www.morrisgoodwinschool.org</t>
  </si>
  <si>
    <t>Hopewell Township School District</t>
  </si>
  <si>
    <t>Meghan</t>
  </si>
  <si>
    <t>LAMMERSEN</t>
  </si>
  <si>
    <t>mlammersen@hopewellcrest.org</t>
  </si>
  <si>
    <t>122 Sewall Road</t>
  </si>
  <si>
    <t>856-451-9203</t>
  </si>
  <si>
    <t>Kuntz</t>
  </si>
  <si>
    <t>Lammersen</t>
  </si>
  <si>
    <t>OGBIN</t>
  </si>
  <si>
    <t>Daryl</t>
  </si>
  <si>
    <t>Halter</t>
  </si>
  <si>
    <t>hopewellcrest.org</t>
  </si>
  <si>
    <t>Lawrence Township School District</t>
  </si>
  <si>
    <t>Shelleymarie</t>
  </si>
  <si>
    <t>Magan</t>
  </si>
  <si>
    <t>smagan@myronlpowell.org</t>
  </si>
  <si>
    <t>225 Main Street</t>
  </si>
  <si>
    <t>Cedarville</t>
  </si>
  <si>
    <t>856-447-4237- x5000</t>
  </si>
  <si>
    <t>Elieen</t>
  </si>
  <si>
    <t>Burkhart</t>
  </si>
  <si>
    <t>Samuels</t>
  </si>
  <si>
    <t>www.myronlpowell.org</t>
  </si>
  <si>
    <t>Maurice River Township School District</t>
  </si>
  <si>
    <t>WALTER</t>
  </si>
  <si>
    <t>KAPPELER</t>
  </si>
  <si>
    <t>3593 RT 47</t>
  </si>
  <si>
    <t xml:space="preserve">PO BOX 464 </t>
  </si>
  <si>
    <t>PORT ELIZABETH</t>
  </si>
  <si>
    <t>PO BOX 464</t>
  </si>
  <si>
    <t>856-825-7411</t>
  </si>
  <si>
    <t>PATRICIA</t>
  </si>
  <si>
    <t>POWELL</t>
  </si>
  <si>
    <t>MICHAEL</t>
  </si>
  <si>
    <t>CAMAC</t>
  </si>
  <si>
    <t>Cassady</t>
  </si>
  <si>
    <t>NEILS</t>
  </si>
  <si>
    <t>CLEMENSON</t>
  </si>
  <si>
    <t>Barbieri</t>
  </si>
  <si>
    <t>WWW.MRTES.COM</t>
  </si>
  <si>
    <t>Millville Public Charter School</t>
  </si>
  <si>
    <t>Ackiewicz</t>
  </si>
  <si>
    <t>mackiewicz@cccharters.org</t>
  </si>
  <si>
    <t>1101 Wheaton Avenue</t>
  </si>
  <si>
    <t xml:space="preserve">Suite 220 </t>
  </si>
  <si>
    <t>Suite 220</t>
  </si>
  <si>
    <t>856-506-8143</t>
  </si>
  <si>
    <t>Ludwig</t>
  </si>
  <si>
    <t>McClintock</t>
  </si>
  <si>
    <t>millvillepubliccharterschool.org</t>
  </si>
  <si>
    <t>Millville School District</t>
  </si>
  <si>
    <t>Trongone</t>
  </si>
  <si>
    <t>tony.trongone@millville.org</t>
  </si>
  <si>
    <t>110 N. Third Street</t>
  </si>
  <si>
    <t>08332-0946</t>
  </si>
  <si>
    <t>PO Box 5010</t>
  </si>
  <si>
    <t>856-293-2065</t>
  </si>
  <si>
    <t>Matusz</t>
  </si>
  <si>
    <t>Vorndran</t>
  </si>
  <si>
    <t>Wulk</t>
  </si>
  <si>
    <t>Meyers</t>
  </si>
  <si>
    <t>www.millville.org</t>
  </si>
  <si>
    <t>Stow Creek Township School District</t>
  </si>
  <si>
    <t>Brandon.cobb@STOWCREEKSCHOOL.COM</t>
  </si>
  <si>
    <t>11 GUM TREE CORNER ROAD</t>
  </si>
  <si>
    <t>BRIDGETON</t>
  </si>
  <si>
    <t>www.stowcreekschool.com</t>
  </si>
  <si>
    <t>Upper Deerfield Township School District</t>
  </si>
  <si>
    <t>Koza</t>
  </si>
  <si>
    <t>kozap@udts.org</t>
  </si>
  <si>
    <t>1385 Highway 77</t>
  </si>
  <si>
    <t>Seabrook</t>
  </si>
  <si>
    <t>08302-4261</t>
  </si>
  <si>
    <t>856-455-2267 x 3201</t>
  </si>
  <si>
    <t>Harold</t>
  </si>
  <si>
    <t>Barbra</t>
  </si>
  <si>
    <t>Ledyard</t>
  </si>
  <si>
    <t>Pretlow</t>
  </si>
  <si>
    <t>www.udts.org</t>
  </si>
  <si>
    <t>Vineland Public Charter School</t>
  </si>
  <si>
    <t>kgarcia@cccharters.org</t>
  </si>
  <si>
    <t>1480 Pennsylvania Ave</t>
  </si>
  <si>
    <t>856-691-1004</t>
  </si>
  <si>
    <t>Larson</t>
  </si>
  <si>
    <t>Zlotek</t>
  </si>
  <si>
    <t>http://www.vinelandpubliccharterschool.org/</t>
  </si>
  <si>
    <t>Vineland Public School District</t>
  </si>
  <si>
    <t>mgruccio@vineland.org</t>
  </si>
  <si>
    <t>61 W Landis Ave</t>
  </si>
  <si>
    <t>08360-8122</t>
  </si>
  <si>
    <t>856-794-6700 x2012</t>
  </si>
  <si>
    <t>Gene</t>
  </si>
  <si>
    <t>Mercoli</t>
  </si>
  <si>
    <t>Godlewski</t>
  </si>
  <si>
    <t>Sneathen</t>
  </si>
  <si>
    <t>Deana</t>
  </si>
  <si>
    <t>Ridolfo</t>
  </si>
  <si>
    <t>Katherine</t>
  </si>
  <si>
    <t>Provenzano</t>
  </si>
  <si>
    <t>www.vineland.org</t>
  </si>
  <si>
    <t>ESSEX</t>
  </si>
  <si>
    <t>Achieve Community Charter School</t>
  </si>
  <si>
    <t>Perpich</t>
  </si>
  <si>
    <t>cperpich@brickeducation.org</t>
  </si>
  <si>
    <t>534 Clinton Ave</t>
  </si>
  <si>
    <t>Everhart</t>
  </si>
  <si>
    <t>Floyd</t>
  </si>
  <si>
    <t>Tashia</t>
  </si>
  <si>
    <t>Randy</t>
  </si>
  <si>
    <t>Gooden</t>
  </si>
  <si>
    <t>Shavon</t>
  </si>
  <si>
    <t>achieveccs.org</t>
  </si>
  <si>
    <t>Belleville Public School District</t>
  </si>
  <si>
    <t>Tomko</t>
  </si>
  <si>
    <t>richard.tomko@bellevilleschools.org</t>
  </si>
  <si>
    <t>102 Passaic Ave</t>
  </si>
  <si>
    <t>Belleville</t>
  </si>
  <si>
    <t>973-450-3500 x1022</t>
  </si>
  <si>
    <t>Paladino</t>
  </si>
  <si>
    <t>Vargas</t>
  </si>
  <si>
    <t>McCrea</t>
  </si>
  <si>
    <t>Vernieri</t>
  </si>
  <si>
    <t>www.bellevilleschools.org</t>
  </si>
  <si>
    <t>Bloomfield Township School District</t>
  </si>
  <si>
    <t>Salvatore</t>
  </si>
  <si>
    <t>Goncalves</t>
  </si>
  <si>
    <t>sgoncalves@bloomfield.k12.nj.us</t>
  </si>
  <si>
    <t>155 Broad Street</t>
  </si>
  <si>
    <t>Bloomfield</t>
  </si>
  <si>
    <t>973-680-8500</t>
  </si>
  <si>
    <t>Vicky</t>
  </si>
  <si>
    <t>Guo</t>
  </si>
  <si>
    <t>Keri</t>
  </si>
  <si>
    <t>Dotoli</t>
  </si>
  <si>
    <t>Atkinson</t>
  </si>
  <si>
    <t>Manning</t>
  </si>
  <si>
    <t>www.bloomfield.k12.nj.us</t>
  </si>
  <si>
    <t>Burch Charter School of Excellence</t>
  </si>
  <si>
    <t>Arnold</t>
  </si>
  <si>
    <t>jwhite@burchcharterschool.org</t>
  </si>
  <si>
    <t>100 Linden Avenue</t>
  </si>
  <si>
    <t>Irvington</t>
  </si>
  <si>
    <t>973-373-3223</t>
  </si>
  <si>
    <t>Julien</t>
  </si>
  <si>
    <t>www.burchcharterschool.org</t>
  </si>
  <si>
    <t>Caldwell-West School District</t>
  </si>
  <si>
    <t>JAMES</t>
  </si>
  <si>
    <t>HEINEGG</t>
  </si>
  <si>
    <t>jheinegg@cwcboe.org</t>
  </si>
  <si>
    <t>104 GRAY STREET</t>
  </si>
  <si>
    <t xml:space="preserve">HARRISON SCHOOL </t>
  </si>
  <si>
    <t>WEST CALDWELL</t>
  </si>
  <si>
    <t>07006-7696</t>
  </si>
  <si>
    <t>HARRISON SCHOOL</t>
  </si>
  <si>
    <t>973-228-6979</t>
  </si>
  <si>
    <t>Muscara</t>
  </si>
  <si>
    <t>Abramovich</t>
  </si>
  <si>
    <t>Lincoln</t>
  </si>
  <si>
    <t>Kaitlin</t>
  </si>
  <si>
    <t>Jones</t>
  </si>
  <si>
    <t>Lucian</t>
  </si>
  <si>
    <t>Micu</t>
  </si>
  <si>
    <t>www.cwcboe.org</t>
  </si>
  <si>
    <t>Cedar Grove Township School District</t>
  </si>
  <si>
    <t>Grosso</t>
  </si>
  <si>
    <t>grosso.anthony@cgschools.org</t>
  </si>
  <si>
    <t>520 POMPTON AVE</t>
  </si>
  <si>
    <t>CEDAR GROVE</t>
  </si>
  <si>
    <t>973-239-1550 X6119</t>
  </si>
  <si>
    <t>DeVita</t>
  </si>
  <si>
    <t>Kinney</t>
  </si>
  <si>
    <t>Barboza</t>
  </si>
  <si>
    <t>http://www.cgschools.org</t>
  </si>
  <si>
    <t>Discovery Charter School</t>
  </si>
  <si>
    <t>Denis</t>
  </si>
  <si>
    <t>Cretinon</t>
  </si>
  <si>
    <t>dcretinon@discoverycs.org</t>
  </si>
  <si>
    <t>240 Halsey St.</t>
  </si>
  <si>
    <t xml:space="preserve">2nd Fl. </t>
  </si>
  <si>
    <t>2nd Fl.</t>
  </si>
  <si>
    <t>973-623-0222</t>
  </si>
  <si>
    <t>Barre</t>
  </si>
  <si>
    <t>Haneefah</t>
  </si>
  <si>
    <t>Myles</t>
  </si>
  <si>
    <t>Grier</t>
  </si>
  <si>
    <t>Rogers</t>
  </si>
  <si>
    <t>Vella</t>
  </si>
  <si>
    <t>www.discoverycs.org</t>
  </si>
  <si>
    <t>East Orange Community Charter School</t>
  </si>
  <si>
    <t>Watkins</t>
  </si>
  <si>
    <t>twatkins@theeoccs.org</t>
  </si>
  <si>
    <t>99 Washington Street</t>
  </si>
  <si>
    <t>East Orange</t>
  </si>
  <si>
    <t>973-996-0400</t>
  </si>
  <si>
    <t>Mamta</t>
  </si>
  <si>
    <t>Paris</t>
  </si>
  <si>
    <t>Smith-Gray</t>
  </si>
  <si>
    <t>Natasha</t>
  </si>
  <si>
    <t>Gaujean La-Mar</t>
  </si>
  <si>
    <t>CARL</t>
  </si>
  <si>
    <t>KYER</t>
  </si>
  <si>
    <t>www.theeoccs.org</t>
  </si>
  <si>
    <t>East Orange School District</t>
  </si>
  <si>
    <t>AbdulSaleem</t>
  </si>
  <si>
    <t>abdulsaleem.hasan@eastorange.k12.nj.us</t>
  </si>
  <si>
    <t>199 4th Ave</t>
  </si>
  <si>
    <t>973-266-5760</t>
  </si>
  <si>
    <t>Brooks</t>
  </si>
  <si>
    <t>Tonya</t>
  </si>
  <si>
    <t>Lawrence</t>
  </si>
  <si>
    <t>Leutz</t>
  </si>
  <si>
    <t>Harvest</t>
  </si>
  <si>
    <t>www.eastorange.k12.nj.us</t>
  </si>
  <si>
    <t>Essex County JDC</t>
  </si>
  <si>
    <t>Essex County Schools of Technology</t>
  </si>
  <si>
    <t>Pedersen</t>
  </si>
  <si>
    <t>jpedersen@essextech.org</t>
  </si>
  <si>
    <t>60 Nelson Place, 1 North</t>
  </si>
  <si>
    <t>973-412-2069</t>
  </si>
  <si>
    <t>Bernetta</t>
  </si>
  <si>
    <t>Clark-Jeter</t>
  </si>
  <si>
    <t>Jenabu</t>
  </si>
  <si>
    <t>Bickram</t>
  </si>
  <si>
    <t>Singh</t>
  </si>
  <si>
    <t>Hlavacek</t>
  </si>
  <si>
    <t>Gabriel</t>
  </si>
  <si>
    <t>Rispoli</t>
  </si>
  <si>
    <t>www.essextech.org</t>
  </si>
  <si>
    <t>Essex Fells School District</t>
  </si>
  <si>
    <t>MICHELLE</t>
  </si>
  <si>
    <t>GADALETA</t>
  </si>
  <si>
    <t>MVGadaleta@efsk-6.org</t>
  </si>
  <si>
    <t>102 HAWTHORNE ROAD</t>
  </si>
  <si>
    <t>ESSEX FELLS</t>
  </si>
  <si>
    <t>973-226-0505</t>
  </si>
  <si>
    <t>STEVEN</t>
  </si>
  <si>
    <t>LELLA</t>
  </si>
  <si>
    <t>JEANINE</t>
  </si>
  <si>
    <t>WHITMAN</t>
  </si>
  <si>
    <t>CATHERINE</t>
  </si>
  <si>
    <t>CODELLA</t>
  </si>
  <si>
    <t>Jackie</t>
  </si>
  <si>
    <t>Castellano</t>
  </si>
  <si>
    <t>www.efsk-6.org</t>
  </si>
  <si>
    <t>Essex Regional Educational Services Commission</t>
  </si>
  <si>
    <t>Newell</t>
  </si>
  <si>
    <t>l.newell@eresc.com</t>
  </si>
  <si>
    <t>333 Fairfield Road</t>
  </si>
  <si>
    <t>FAIRFIELD</t>
  </si>
  <si>
    <t>973-405-6262</t>
  </si>
  <si>
    <t>Carrie</t>
  </si>
  <si>
    <t>Grapstein</t>
  </si>
  <si>
    <t>Guyton</t>
  </si>
  <si>
    <t>Acito</t>
  </si>
  <si>
    <t>Trembulak</t>
  </si>
  <si>
    <t>Jil</t>
  </si>
  <si>
    <t>Demasi</t>
  </si>
  <si>
    <t>www.eresc.com</t>
  </si>
  <si>
    <t>Fairfield Public School District</t>
  </si>
  <si>
    <t>Ciccotelli</t>
  </si>
  <si>
    <t>ciccotellis@fpsk6.org</t>
  </si>
  <si>
    <t>15 Knoll Road</t>
  </si>
  <si>
    <t xml:space="preserve">Stevenson School </t>
  </si>
  <si>
    <t>Fairfield</t>
  </si>
  <si>
    <t>Stevenson School</t>
  </si>
  <si>
    <t>973-227-5586</t>
  </si>
  <si>
    <t>Lyanna</t>
  </si>
  <si>
    <t>Rios</t>
  </si>
  <si>
    <t>Cafone</t>
  </si>
  <si>
    <t>Verrengia</t>
  </si>
  <si>
    <t>Trabucco</t>
  </si>
  <si>
    <t>www.fpsk6.org</t>
  </si>
  <si>
    <t>Glen Ridge Public School District</t>
  </si>
  <si>
    <t>Dirk</t>
  </si>
  <si>
    <t>dphillips@glenridge.org</t>
  </si>
  <si>
    <t>12 High Street</t>
  </si>
  <si>
    <t>Glen Ridge</t>
  </si>
  <si>
    <t>973-429-8302</t>
  </si>
  <si>
    <t>DeWitt</t>
  </si>
  <si>
    <t>Winnie</t>
  </si>
  <si>
    <t>Boswell</t>
  </si>
  <si>
    <t>www.glenridge.org</t>
  </si>
  <si>
    <t>Gray Charter School</t>
  </si>
  <si>
    <t>Verna</t>
  </si>
  <si>
    <t>graychartersch@gmail.com</t>
  </si>
  <si>
    <t>55 Liberty Street</t>
  </si>
  <si>
    <t>973-824-6661</t>
  </si>
  <si>
    <t>Milteer</t>
  </si>
  <si>
    <t>Pringle</t>
  </si>
  <si>
    <t>www.graycharterschool.com</t>
  </si>
  <si>
    <t>Great Oaks Legacy Charter School</t>
  </si>
  <si>
    <t>Taillefer</t>
  </si>
  <si>
    <t>jtaillefer@greatoakslegacy.org</t>
  </si>
  <si>
    <t>909 Broad Street</t>
  </si>
  <si>
    <t>973-565-9170</t>
  </si>
  <si>
    <t>Benjamin</t>
  </si>
  <si>
    <t>Greene</t>
  </si>
  <si>
    <t>Riffle</t>
  </si>
  <si>
    <t>Leah</t>
  </si>
  <si>
    <t>Kahn</t>
  </si>
  <si>
    <t>Quan</t>
  </si>
  <si>
    <t>Vuong</t>
  </si>
  <si>
    <t>www.greatoakslegacy.org</t>
  </si>
  <si>
    <t>Irvington Public School District</t>
  </si>
  <si>
    <t>April</t>
  </si>
  <si>
    <t>Vauss</t>
  </si>
  <si>
    <t>avauss@irvington.k12.nj.us</t>
  </si>
  <si>
    <t>1 UNIVERSITY PLACE</t>
  </si>
  <si>
    <t>IRVINGTON</t>
  </si>
  <si>
    <t>973-399-6800 X2110</t>
  </si>
  <si>
    <t>Reginald</t>
  </si>
  <si>
    <t>Lamptey</t>
  </si>
  <si>
    <t>Lystrea</t>
  </si>
  <si>
    <t>Crooks</t>
  </si>
  <si>
    <t>Shelley</t>
  </si>
  <si>
    <t>Pettiford</t>
  </si>
  <si>
    <t>Matin</t>
  </si>
  <si>
    <t>Adegboyega</t>
  </si>
  <si>
    <t>Amberg</t>
  </si>
  <si>
    <t>Roger</t>
  </si>
  <si>
    <t>Monel</t>
  </si>
  <si>
    <t>www.irvington.k12.nj.us</t>
  </si>
  <si>
    <t>LEAD Charter School</t>
  </si>
  <si>
    <t>Comesañas</t>
  </si>
  <si>
    <t>mcomesanas@oyn-nj.org</t>
  </si>
  <si>
    <t>201 Bergen St</t>
  </si>
  <si>
    <t>07103-2402</t>
  </si>
  <si>
    <t>862-772-1724</t>
  </si>
  <si>
    <t>Dowayne</t>
  </si>
  <si>
    <t>http://leadcharterschool.org/</t>
  </si>
  <si>
    <t>Link Community Charter School</t>
  </si>
  <si>
    <t>Paradiso</t>
  </si>
  <si>
    <t>mparadiso@linkschool.org</t>
  </si>
  <si>
    <t>23 Pennsylvania Avenue</t>
  </si>
  <si>
    <t>973-642-0529</t>
  </si>
  <si>
    <t>Bima</t>
  </si>
  <si>
    <t>Baje</t>
  </si>
  <si>
    <t>Lynskey</t>
  </si>
  <si>
    <t>Erika</t>
  </si>
  <si>
    <t>Hester</t>
  </si>
  <si>
    <t>www.linkschool.org</t>
  </si>
  <si>
    <t>Livingston Board of Education School District</t>
  </si>
  <si>
    <t>Block</t>
  </si>
  <si>
    <t>mblock@livingston.org</t>
  </si>
  <si>
    <t>11 Foxcroft Drive</t>
  </si>
  <si>
    <t>Livingston</t>
  </si>
  <si>
    <t>973-535-8000 x8010</t>
  </si>
  <si>
    <t>Blair</t>
  </si>
  <si>
    <t>Rosenthal</t>
  </si>
  <si>
    <t>Capone-Steiger</t>
  </si>
  <si>
    <t>Topylko</t>
  </si>
  <si>
    <t>Toomey</t>
  </si>
  <si>
    <t>www.livingston.org</t>
  </si>
  <si>
    <t>Maria L. Varisco-Rogers Charter School</t>
  </si>
  <si>
    <t>Segarra</t>
  </si>
  <si>
    <t>tsegarra@mlvrcs.org</t>
  </si>
  <si>
    <t>243 Woodside Avenue</t>
  </si>
  <si>
    <t xml:space="preserve">18 Heller Parkway </t>
  </si>
  <si>
    <t>233 Woodside Avenue</t>
  </si>
  <si>
    <t>973-481-9001</t>
  </si>
  <si>
    <t>Heyward</t>
  </si>
  <si>
    <t>Fumero</t>
  </si>
  <si>
    <t>Leifer</t>
  </si>
  <si>
    <t>www.mlvrcs.org</t>
  </si>
  <si>
    <t>Marion P. Thomas Charter School</t>
  </si>
  <si>
    <t>Lynette</t>
  </si>
  <si>
    <t>Tannis</t>
  </si>
  <si>
    <t>ltannis@mptcs.org</t>
  </si>
  <si>
    <t>125 Sussex Avenue</t>
  </si>
  <si>
    <t>973-621-0060 x4141</t>
  </si>
  <si>
    <t>Carrieann</t>
  </si>
  <si>
    <t>Zielinski</t>
  </si>
  <si>
    <t>http://www.mptcs.org</t>
  </si>
  <si>
    <t>Millburn Township School District</t>
  </si>
  <si>
    <t>Burton</t>
  </si>
  <si>
    <t>christine.burton@millburn.org</t>
  </si>
  <si>
    <t>434 Millburn Avenue</t>
  </si>
  <si>
    <t>Millburn</t>
  </si>
  <si>
    <t>973-376-3600 x151</t>
  </si>
  <si>
    <t>Shneider</t>
  </si>
  <si>
    <t>Sowa</t>
  </si>
  <si>
    <t>Diskin</t>
  </si>
  <si>
    <t>Gregory</t>
  </si>
  <si>
    <t>Jablonski</t>
  </si>
  <si>
    <t>Interim Coordinator of State Testing</t>
  </si>
  <si>
    <t>Palardy</t>
  </si>
  <si>
    <t>www.millburn.org</t>
  </si>
  <si>
    <t>Montclair Public School District</t>
  </si>
  <si>
    <t>Ponds</t>
  </si>
  <si>
    <t>jponds@montclair.k12.nj.us</t>
  </si>
  <si>
    <t>22 Valley Rd.</t>
  </si>
  <si>
    <t>Montclair</t>
  </si>
  <si>
    <t>973-509-4000</t>
  </si>
  <si>
    <t>Emidio</t>
  </si>
  <si>
    <t>D'Andrea</t>
  </si>
  <si>
    <t>Santagato</t>
  </si>
  <si>
    <t>Evangelista</t>
  </si>
  <si>
    <t>Jenn</t>
  </si>
  <si>
    <t>Goforth</t>
  </si>
  <si>
    <t>Graber</t>
  </si>
  <si>
    <t>Felice</t>
  </si>
  <si>
    <t>Harrison-Crawford</t>
  </si>
  <si>
    <t>www.montclair.k12.nj.us</t>
  </si>
  <si>
    <t>New Horizons Community Charter School</t>
  </si>
  <si>
    <t>Rhonda</t>
  </si>
  <si>
    <t>rwilson@nhccschool.org</t>
  </si>
  <si>
    <t>45-59 Hayes Street</t>
  </si>
  <si>
    <t>973-848-0910</t>
  </si>
  <si>
    <t>Omwega</t>
  </si>
  <si>
    <t>Monique</t>
  </si>
  <si>
    <t>Yashmine</t>
  </si>
  <si>
    <t>Cooper</t>
  </si>
  <si>
    <t>Leonor</t>
  </si>
  <si>
    <t>Costa</t>
  </si>
  <si>
    <t>www.nhccschool.org</t>
  </si>
  <si>
    <t>Newark Educators Community Charter School</t>
  </si>
  <si>
    <t>Martinez</t>
  </si>
  <si>
    <t>kmartinez@newarkeducators.org</t>
  </si>
  <si>
    <t>9-11 Hill Street</t>
  </si>
  <si>
    <t>973-732-3848</t>
  </si>
  <si>
    <t>Lisette</t>
  </si>
  <si>
    <t>Ameenah</t>
  </si>
  <si>
    <t>Pizzigoni</t>
  </si>
  <si>
    <t>Patrice</t>
  </si>
  <si>
    <t>Usry</t>
  </si>
  <si>
    <t>www.newarkeducators.org</t>
  </si>
  <si>
    <t>Newark Public School District</t>
  </si>
  <si>
    <t>Leon</t>
  </si>
  <si>
    <t>RLeon@nps.k12.nj.us</t>
  </si>
  <si>
    <t>765 Broad Street</t>
  </si>
  <si>
    <t>973-733-7334</t>
  </si>
  <si>
    <t>Valerie</t>
  </si>
  <si>
    <t>Granato</t>
  </si>
  <si>
    <t>Dwight</t>
  </si>
  <si>
    <t>Lydia</t>
  </si>
  <si>
    <t>Abdullah</t>
  </si>
  <si>
    <t>Ansari</t>
  </si>
  <si>
    <t>Ingold</t>
  </si>
  <si>
    <t>WWW.NPS.K12.NJ.US</t>
  </si>
  <si>
    <t>North Caldwell School District</t>
  </si>
  <si>
    <t>Freda</t>
  </si>
  <si>
    <t>lfreda@ncboe.org</t>
  </si>
  <si>
    <t>132A Gould Avenue</t>
  </si>
  <si>
    <t>North Caldwell</t>
  </si>
  <si>
    <t>973-712-4400</t>
  </si>
  <si>
    <t>Halik</t>
  </si>
  <si>
    <t>Checchetto</t>
  </si>
  <si>
    <t>Ian</t>
  </si>
  <si>
    <t>Adlon</t>
  </si>
  <si>
    <t>www.ncboe.org</t>
  </si>
  <si>
    <t>North Star Academy Charter School</t>
  </si>
  <si>
    <t>18 Washington Place</t>
  </si>
  <si>
    <t>973-642-0101 x1103</t>
  </si>
  <si>
    <t>Gladasia</t>
  </si>
  <si>
    <t>Tatum</t>
  </si>
  <si>
    <t>Stephenson</t>
  </si>
  <si>
    <t>Huston</t>
  </si>
  <si>
    <t>Nihir</t>
  </si>
  <si>
    <t>Bhavsar</t>
  </si>
  <si>
    <t>www.northstaracademy.org</t>
  </si>
  <si>
    <t>Nutley Public School District</t>
  </si>
  <si>
    <t>Glazer</t>
  </si>
  <si>
    <t>jglazer@nutleyschools.org</t>
  </si>
  <si>
    <t>315 FRANKLIN AVENUE</t>
  </si>
  <si>
    <t>NUTLEY</t>
  </si>
  <si>
    <t>973-661-8798</t>
  </si>
  <si>
    <t>DiPisa</t>
  </si>
  <si>
    <t>Doyle-Marino</t>
  </si>
  <si>
    <t>Persis</t>
  </si>
  <si>
    <t>Aviles</t>
  </si>
  <si>
    <t>Viemeister</t>
  </si>
  <si>
    <t>Natale</t>
  </si>
  <si>
    <t>Ferrara</t>
  </si>
  <si>
    <t>www.nutleyschools.org</t>
  </si>
  <si>
    <t>ORANGE BOARD OF EDUCATION School District</t>
  </si>
  <si>
    <t>GERALD</t>
  </si>
  <si>
    <t>FITZHUGH</t>
  </si>
  <si>
    <t>fitzhuge@orange.k12.nj.us</t>
  </si>
  <si>
    <t>451 LINCOLN AVENUE</t>
  </si>
  <si>
    <t>ORANGE</t>
  </si>
  <si>
    <t>973-677-4040</t>
  </si>
  <si>
    <t>EDWARD</t>
  </si>
  <si>
    <t>IZBICKI</t>
  </si>
  <si>
    <t>Amina</t>
  </si>
  <si>
    <t>Mateen</t>
  </si>
  <si>
    <t>Shelly</t>
  </si>
  <si>
    <t>HARRIS</t>
  </si>
  <si>
    <t>Cordes</t>
  </si>
  <si>
    <t>www.orange.k12.nj.us</t>
  </si>
  <si>
    <t>Peoples Preparatory Charter School District</t>
  </si>
  <si>
    <t>Rooney</t>
  </si>
  <si>
    <t>jrooney@peoplesprep.org</t>
  </si>
  <si>
    <t>321 Bergen Street</t>
  </si>
  <si>
    <t xml:space="preserve">Room 211 </t>
  </si>
  <si>
    <t>Room 211</t>
  </si>
  <si>
    <t>973-622-1790</t>
  </si>
  <si>
    <t>Laycock</t>
  </si>
  <si>
    <t>Bewley</t>
  </si>
  <si>
    <t>http://peoplesprepnewark.org</t>
  </si>
  <si>
    <t>Phillip's Academy  Charter School</t>
  </si>
  <si>
    <t>Yasmeen</t>
  </si>
  <si>
    <t>Sampson</t>
  </si>
  <si>
    <t>ysampson@pacsnewark.org</t>
  </si>
  <si>
    <t>342 Central Avenue</t>
  </si>
  <si>
    <t>973-624-0644</t>
  </si>
  <si>
    <t>Migdalia</t>
  </si>
  <si>
    <t>Dale</t>
  </si>
  <si>
    <t>Sakinah</t>
  </si>
  <si>
    <t>Springs</t>
  </si>
  <si>
    <t>El-Amin</t>
  </si>
  <si>
    <t>Alonzo</t>
  </si>
  <si>
    <t>Cristofer</t>
  </si>
  <si>
    <t>Orellana</t>
  </si>
  <si>
    <t>Garay</t>
  </si>
  <si>
    <t>http://www.pacsnewark.org</t>
  </si>
  <si>
    <t>Pride Academy Charter School District</t>
  </si>
  <si>
    <t>Fiona</t>
  </si>
  <si>
    <t>fthomas@prideacs.org</t>
  </si>
  <si>
    <t>117 Elmwood Ave</t>
  </si>
  <si>
    <t>973-672-3200 x201</t>
  </si>
  <si>
    <t>Gyan</t>
  </si>
  <si>
    <t>Colleen</t>
  </si>
  <si>
    <t>Marash</t>
  </si>
  <si>
    <t>Asgeir</t>
  </si>
  <si>
    <t>Ofstad</t>
  </si>
  <si>
    <t>www.prideacs.org</t>
  </si>
  <si>
    <t>Robert Treat Academy Charter School</t>
  </si>
  <si>
    <t>Adubato</t>
  </si>
  <si>
    <t>adubatot@roberttreatacademy.org</t>
  </si>
  <si>
    <t>443 Clifton Avenue</t>
  </si>
  <si>
    <t>07104-1339</t>
  </si>
  <si>
    <t>973-482-8811</t>
  </si>
  <si>
    <t>Clark</t>
  </si>
  <si>
    <t>Trillo</t>
  </si>
  <si>
    <t>Parada</t>
  </si>
  <si>
    <t>Marcelino</t>
  </si>
  <si>
    <t>Gutierrez</t>
  </si>
  <si>
    <t>www.RobertTreatAcademy.org</t>
  </si>
  <si>
    <t>Roseland School District</t>
  </si>
  <si>
    <t>Deanne</t>
  </si>
  <si>
    <t>Somers</t>
  </si>
  <si>
    <t>dsomers@roselandnjboe.org</t>
  </si>
  <si>
    <t>100 Passaic Avenue</t>
  </si>
  <si>
    <t>Roseland</t>
  </si>
  <si>
    <t>07068-1205</t>
  </si>
  <si>
    <t>973-226-1296 x313</t>
  </si>
  <si>
    <t>Gibbs</t>
  </si>
  <si>
    <t>Celebre</t>
  </si>
  <si>
    <t>Raul</t>
  </si>
  <si>
    <t>Sandoval</t>
  </si>
  <si>
    <t>www.roselandnjboe.org</t>
  </si>
  <si>
    <t>Roseville Community Charter School</t>
  </si>
  <si>
    <t>Ledford</t>
  </si>
  <si>
    <t>dledford@rosevillecharter.org</t>
  </si>
  <si>
    <t>540 ORANGE STREET</t>
  </si>
  <si>
    <t>NEWARK</t>
  </si>
  <si>
    <t>Klein</t>
  </si>
  <si>
    <t>Jesse</t>
  </si>
  <si>
    <t>Shafer</t>
  </si>
  <si>
    <t>Malika</t>
  </si>
  <si>
    <t>Jackson</t>
  </si>
  <si>
    <t>Nadeisha</t>
  </si>
  <si>
    <t>www.rosevillecharter.org</t>
  </si>
  <si>
    <t>South Orange-Maplewood School District</t>
  </si>
  <si>
    <t>rtaylor@somsd.k12.nj.us</t>
  </si>
  <si>
    <t>525 Academy Street</t>
  </si>
  <si>
    <t>Maplewood</t>
  </si>
  <si>
    <t>973-762-5600 x1820</t>
  </si>
  <si>
    <t>DelGuercio</t>
  </si>
  <si>
    <t>Melody</t>
  </si>
  <si>
    <t>Alegria</t>
  </si>
  <si>
    <t>Gretel</t>
  </si>
  <si>
    <t>Perez</t>
  </si>
  <si>
    <t>Friedman</t>
  </si>
  <si>
    <t>Gerard</t>
  </si>
  <si>
    <t>Archibald</t>
  </si>
  <si>
    <t>Vacant</t>
  </si>
  <si>
    <t>www.somsd.k12.nj.us</t>
  </si>
  <si>
    <t>TEAM Academy Charter School</t>
  </si>
  <si>
    <t>Belcher</t>
  </si>
  <si>
    <t>jbelcher@kippnj.org</t>
  </si>
  <si>
    <t xml:space="preserve">Suite 802 </t>
  </si>
  <si>
    <t>Brockett</t>
  </si>
  <si>
    <t>Cassells</t>
  </si>
  <si>
    <t>Demers</t>
  </si>
  <si>
    <t>University Heights Charter School</t>
  </si>
  <si>
    <t>Christy</t>
  </si>
  <si>
    <t>Oliver-Hawley</t>
  </si>
  <si>
    <t>coliver@uhcs-newark.org</t>
  </si>
  <si>
    <t>74 Hartford St</t>
  </si>
  <si>
    <t>973-623-1965</t>
  </si>
  <si>
    <t>Darice</t>
  </si>
  <si>
    <t>Donnie</t>
  </si>
  <si>
    <t>Jamal</t>
  </si>
  <si>
    <t>www.uhcs-newark.org</t>
  </si>
  <si>
    <t>Verona Public School District</t>
  </si>
  <si>
    <t>Rui</t>
  </si>
  <si>
    <t>Dionisio</t>
  </si>
  <si>
    <t>rdionisio@veronaschools.org</t>
  </si>
  <si>
    <t>121 Fairview Avenue</t>
  </si>
  <si>
    <t>Verona</t>
  </si>
  <si>
    <t>973-571-2029</t>
  </si>
  <si>
    <t>Ernest</t>
  </si>
  <si>
    <t>Merkler</t>
  </si>
  <si>
    <t>www.veronaschools.org</t>
  </si>
  <si>
    <t>West Essex Regional School District</t>
  </si>
  <si>
    <t>Damion</t>
  </si>
  <si>
    <t>Macioci</t>
  </si>
  <si>
    <t>dmacioci@westex.org</t>
  </si>
  <si>
    <t>65 West Greenbrook Road</t>
  </si>
  <si>
    <t>973-228-1200 x3100</t>
  </si>
  <si>
    <t>Kida</t>
  </si>
  <si>
    <t>Tania</t>
  </si>
  <si>
    <t>Symmons</t>
  </si>
  <si>
    <t>Juliann</t>
  </si>
  <si>
    <t>Hoebee</t>
  </si>
  <si>
    <t>Luisa</t>
  </si>
  <si>
    <t>Tamburri</t>
  </si>
  <si>
    <t>www.westex.org</t>
  </si>
  <si>
    <t>West Orange Public Schools</t>
  </si>
  <si>
    <t>Cascone</t>
  </si>
  <si>
    <t>scascone@westorangeschools.org</t>
  </si>
  <si>
    <t>179 Eagle Rock Ave.</t>
  </si>
  <si>
    <t>West Orange</t>
  </si>
  <si>
    <t>973-669-5400</t>
  </si>
  <si>
    <t>Flowers</t>
  </si>
  <si>
    <t>Gogerty</t>
  </si>
  <si>
    <t>Diegmann</t>
  </si>
  <si>
    <t>Fil</t>
  </si>
  <si>
    <t>Santiago</t>
  </si>
  <si>
    <t>Cimmino</t>
  </si>
  <si>
    <t>http://www.woboe.org</t>
  </si>
  <si>
    <t>GLOUCESTER</t>
  </si>
  <si>
    <t>Clayton Public School District</t>
  </si>
  <si>
    <t>Nikolaos</t>
  </si>
  <si>
    <t>Koutsogiannis</t>
  </si>
  <si>
    <t>nkoutsogiannis@claytonps.org</t>
  </si>
  <si>
    <t>350 East Clinton Street</t>
  </si>
  <si>
    <t>08312-1700</t>
  </si>
  <si>
    <t>856-881-8700 x 3050</t>
  </si>
  <si>
    <t>Frances</t>
  </si>
  <si>
    <t>Adler</t>
  </si>
  <si>
    <t>Esposito</t>
  </si>
  <si>
    <t>Marakowski</t>
  </si>
  <si>
    <t>Slater</t>
  </si>
  <si>
    <t>www.claytonps.org</t>
  </si>
  <si>
    <t>Clearview Regional High School District</t>
  </si>
  <si>
    <t>Horchak III</t>
  </si>
  <si>
    <t>jhorchak@clearviewregional.edu</t>
  </si>
  <si>
    <t>420 Cedar Road</t>
  </si>
  <si>
    <t>Mullica Hill</t>
  </si>
  <si>
    <t>856-223-2765</t>
  </si>
  <si>
    <t>Esther</t>
  </si>
  <si>
    <t>Pennell</t>
  </si>
  <si>
    <t>Nathan</t>
  </si>
  <si>
    <t>Barnes</t>
  </si>
  <si>
    <t>Dodd</t>
  </si>
  <si>
    <t>Terry</t>
  </si>
  <si>
    <t>Sherry</t>
  </si>
  <si>
    <t>McAteer</t>
  </si>
  <si>
    <t>Thibault</t>
  </si>
  <si>
    <t>www.clearviewregional.edu</t>
  </si>
  <si>
    <t>Delsea Regional High School District</t>
  </si>
  <si>
    <t>Piera</t>
  </si>
  <si>
    <t>Gravenor</t>
  </si>
  <si>
    <t>pgravenor@delsearegional.us</t>
  </si>
  <si>
    <t>242 Fries Mill Road</t>
  </si>
  <si>
    <t>Franklinville</t>
  </si>
  <si>
    <t>856-694-0100 x215</t>
  </si>
  <si>
    <t>Scerbo</t>
  </si>
  <si>
    <t>Nicholson</t>
  </si>
  <si>
    <t>Pilitowski</t>
  </si>
  <si>
    <t>www.delsearegional.us</t>
  </si>
  <si>
    <t>Deptford Township Public School District</t>
  </si>
  <si>
    <t>Arthur</t>
  </si>
  <si>
    <t>Dietz</t>
  </si>
  <si>
    <t>dietz.a@deptford.k12.nj.us</t>
  </si>
  <si>
    <t>2022 Good Intent Road</t>
  </si>
  <si>
    <t>Deptford</t>
  </si>
  <si>
    <t>856-232-2700 x3014</t>
  </si>
  <si>
    <t>Reitzel</t>
  </si>
  <si>
    <t>Nicely</t>
  </si>
  <si>
    <t>Kanauss</t>
  </si>
  <si>
    <t>Hanstein</t>
  </si>
  <si>
    <t>https://www.deptfordschools.org/</t>
  </si>
  <si>
    <t>East Greenwich Township School District</t>
  </si>
  <si>
    <t>evansa@eastgreenwich.k12.nj.us</t>
  </si>
  <si>
    <t>559 Kings Highway</t>
  </si>
  <si>
    <t>Mickleton</t>
  </si>
  <si>
    <t>856-423-0412 x 1001</t>
  </si>
  <si>
    <t>Godfrey</t>
  </si>
  <si>
    <t>Nollet</t>
  </si>
  <si>
    <t>Giorgianni</t>
  </si>
  <si>
    <t>Caley</t>
  </si>
  <si>
    <t>Loughlin</t>
  </si>
  <si>
    <t>www.eastgreenwich.k12.nj.us</t>
  </si>
  <si>
    <t>Elk Township School District</t>
  </si>
  <si>
    <t>900 Clems Run</t>
  </si>
  <si>
    <t>Glassboro</t>
  </si>
  <si>
    <t>08028-3518</t>
  </si>
  <si>
    <t>856-881-4551  X215</t>
  </si>
  <si>
    <t>Wayne</t>
  </si>
  <si>
    <t>Murschell</t>
  </si>
  <si>
    <t>Tharp</t>
  </si>
  <si>
    <t>www.auraelementary.us</t>
  </si>
  <si>
    <t>Gateway Regional High School District</t>
  </si>
  <si>
    <t>Whalen</t>
  </si>
  <si>
    <t>swhalen@gatewayhs.com</t>
  </si>
  <si>
    <t>775 Tanyard Road</t>
  </si>
  <si>
    <t>Woodbury Heights</t>
  </si>
  <si>
    <t>856-848-8172</t>
  </si>
  <si>
    <t>Contrevo</t>
  </si>
  <si>
    <t>Kristy</t>
  </si>
  <si>
    <t>Raba</t>
  </si>
  <si>
    <t>Mount</t>
  </si>
  <si>
    <t>http://www.gatewayhs.com</t>
  </si>
  <si>
    <t>Glassboro School District</t>
  </si>
  <si>
    <t>Silverstein</t>
  </si>
  <si>
    <t>msilverstein@gpsd.us</t>
  </si>
  <si>
    <t>560 Joseph L Bowe Blvd</t>
  </si>
  <si>
    <t>856-652-2700</t>
  </si>
  <si>
    <t>Ridgway</t>
  </si>
  <si>
    <t>Nanci</t>
  </si>
  <si>
    <t>Preston</t>
  </si>
  <si>
    <t>Brandi</t>
  </si>
  <si>
    <t>http://www.glassboroschools.us</t>
  </si>
  <si>
    <t>Gloucester County Special Services School District</t>
  </si>
  <si>
    <t>Dicken</t>
  </si>
  <si>
    <t>mdicken@gcecnj.org</t>
  </si>
  <si>
    <t>1340 Tanyard Road</t>
  </si>
  <si>
    <t>Sewell</t>
  </si>
  <si>
    <t>856-468-1445 x2711</t>
  </si>
  <si>
    <t>Capriotti</t>
  </si>
  <si>
    <t>Rutter</t>
  </si>
  <si>
    <t>Heiken</t>
  </si>
  <si>
    <t>Sybil</t>
  </si>
  <si>
    <t>Girard</t>
  </si>
  <si>
    <t>Lombardo</t>
  </si>
  <si>
    <t>www.gcsssd.org</t>
  </si>
  <si>
    <t>Gloucester County Vocational-Technical School District</t>
  </si>
  <si>
    <t>1360 Tanyard Road</t>
  </si>
  <si>
    <t>Dundee</t>
  </si>
  <si>
    <t>www.gcit.org</t>
  </si>
  <si>
    <t>Foley-Hindman</t>
  </si>
  <si>
    <t>jfoley-hindman@gtsdk8.us</t>
  </si>
  <si>
    <t>415 Swedesboro Road</t>
  </si>
  <si>
    <t>Gibbstown</t>
  </si>
  <si>
    <t>856-224-4900 x2132</t>
  </si>
  <si>
    <t>Campbell</t>
  </si>
  <si>
    <t>Tirico</t>
  </si>
  <si>
    <t>Alisa</t>
  </si>
  <si>
    <t>Whitcraft</t>
  </si>
  <si>
    <t>Grelli</t>
  </si>
  <si>
    <t>www.greenwich.k12.nj.us</t>
  </si>
  <si>
    <t>Harrison Township School District</t>
  </si>
  <si>
    <t>MARGARET</t>
  </si>
  <si>
    <t>PERETTI</t>
  </si>
  <si>
    <t>perettim@harrisontwp.k12.nj.us</t>
  </si>
  <si>
    <t>120 N. Main Street</t>
  </si>
  <si>
    <t>08062-9494</t>
  </si>
  <si>
    <t>856-478-2016 X7123</t>
  </si>
  <si>
    <t>Scharle</t>
  </si>
  <si>
    <t>Hynes</t>
  </si>
  <si>
    <t>Hackett-Slimm</t>
  </si>
  <si>
    <t>Heenan</t>
  </si>
  <si>
    <t>Shenk</t>
  </si>
  <si>
    <t>www.harrisontwp.k12.nj.us</t>
  </si>
  <si>
    <t>Kingsway Regional School District</t>
  </si>
  <si>
    <t>Lavender</t>
  </si>
  <si>
    <t>lavenderj@krsd.org</t>
  </si>
  <si>
    <t>213 Kings Highway</t>
  </si>
  <si>
    <t>Woolwich Twp.</t>
  </si>
  <si>
    <t>08085-5041</t>
  </si>
  <si>
    <t>856-467-3300 X4205</t>
  </si>
  <si>
    <t>Schimpf</t>
  </si>
  <si>
    <t>Shanna</t>
  </si>
  <si>
    <t>Hoffman</t>
  </si>
  <si>
    <t>Schiff</t>
  </si>
  <si>
    <t>Iocona</t>
  </si>
  <si>
    <t>Ed</t>
  </si>
  <si>
    <t>Dubbs</t>
  </si>
  <si>
    <t>www.krsd.org</t>
  </si>
  <si>
    <t>Logan Township School District</t>
  </si>
  <si>
    <t>Haney</t>
  </si>
  <si>
    <t>phaney@logantownshipschools.org</t>
  </si>
  <si>
    <t>110 School Lane</t>
  </si>
  <si>
    <t>Logan Township</t>
  </si>
  <si>
    <t>856-467-5133 x510</t>
  </si>
  <si>
    <t>Revell</t>
  </si>
  <si>
    <t>www.logantownshipschools.org</t>
  </si>
  <si>
    <t>Mantua Township School District</t>
  </si>
  <si>
    <t>rmiles@mantuaschools.com</t>
  </si>
  <si>
    <t>684 Main Street</t>
  </si>
  <si>
    <t>856-468-2225</t>
  </si>
  <si>
    <t>Logan</t>
  </si>
  <si>
    <t>Labbree</t>
  </si>
  <si>
    <t>Mennella</t>
  </si>
  <si>
    <t>www.mantuaschools.com</t>
  </si>
  <si>
    <t>Monroe Township Public School District</t>
  </si>
  <si>
    <t>Ficke</t>
  </si>
  <si>
    <t>Sficke@monroetwp.k12.nj.us</t>
  </si>
  <si>
    <t>75 East Academy Street</t>
  </si>
  <si>
    <t>Williamstown</t>
  </si>
  <si>
    <t>856-629-6400 x 1005</t>
  </si>
  <si>
    <t>Schulz</t>
  </si>
  <si>
    <t>Bersh</t>
  </si>
  <si>
    <t>Baker</t>
  </si>
  <si>
    <t>Stan</t>
  </si>
  <si>
    <t>Krzyminski</t>
  </si>
  <si>
    <t>Romalino</t>
  </si>
  <si>
    <t>DiPietropolo</t>
  </si>
  <si>
    <t>www.monroetwp.k12.nj.us/</t>
  </si>
  <si>
    <t>National Park Boro School District</t>
  </si>
  <si>
    <t>516 Lakehurst Avenue</t>
  </si>
  <si>
    <t>National Park</t>
  </si>
  <si>
    <t>856-848-8200 x.205</t>
  </si>
  <si>
    <t>Bittner</t>
  </si>
  <si>
    <t>Lou</t>
  </si>
  <si>
    <t>www.npelem.com</t>
  </si>
  <si>
    <t>Newfield Boro School District</t>
  </si>
  <si>
    <t>879 Beideman Avenue</t>
  </si>
  <si>
    <t>Bermann</t>
  </si>
  <si>
    <t>Paulsboro School District</t>
  </si>
  <si>
    <t>Dawson</t>
  </si>
  <si>
    <t>rdawson@paulsboro.k12.nj.us</t>
  </si>
  <si>
    <t>662 N. DELAWARE STREET</t>
  </si>
  <si>
    <t>PAULSBORO</t>
  </si>
  <si>
    <t>856-423-5515  x1218</t>
  </si>
  <si>
    <t>Meehan</t>
  </si>
  <si>
    <t>Giovannitti</t>
  </si>
  <si>
    <t>Lindenmuth</t>
  </si>
  <si>
    <t>O'Bryant</t>
  </si>
  <si>
    <t>Browne</t>
  </si>
  <si>
    <t>WWW.PAULSBORO.K12.NJ.US</t>
  </si>
  <si>
    <t>Pitman Boro School District</t>
  </si>
  <si>
    <t>McAleer</t>
  </si>
  <si>
    <t>pmcaleer@pitman.k12.nj.us</t>
  </si>
  <si>
    <t>420 Hudson Avenue</t>
  </si>
  <si>
    <t>Pitman</t>
  </si>
  <si>
    <t>08071-1014</t>
  </si>
  <si>
    <t>856-589-2145</t>
  </si>
  <si>
    <t>Brazelton</t>
  </si>
  <si>
    <t>Shea</t>
  </si>
  <si>
    <t>Rebecca</t>
  </si>
  <si>
    <t>Moody</t>
  </si>
  <si>
    <t>Galowitz</t>
  </si>
  <si>
    <t>http://pitman.k12.nj.us</t>
  </si>
  <si>
    <t>South Harrison Township School District</t>
  </si>
  <si>
    <t>lavenderj@kingsway.k12.nj.us</t>
  </si>
  <si>
    <t>904 Mullica Hill Road</t>
  </si>
  <si>
    <t xml:space="preserve">PO BOX 112 </t>
  </si>
  <si>
    <t>Harrisonville</t>
  </si>
  <si>
    <t>08039-0112</t>
  </si>
  <si>
    <t>PO BOX 112</t>
  </si>
  <si>
    <t>Hogan</t>
  </si>
  <si>
    <t>www.southharrison.k12.nj.us</t>
  </si>
  <si>
    <t>Swedesboro-Woolwich School District</t>
  </si>
  <si>
    <t>danderson@SWSDK6.COM</t>
  </si>
  <si>
    <t>15 FREDRICK BLVD</t>
  </si>
  <si>
    <t>WOOLWICH TWP</t>
  </si>
  <si>
    <t>856-241-1552 x 1016</t>
  </si>
  <si>
    <t>Pfizenmayer</t>
  </si>
  <si>
    <t>HEATHER</t>
  </si>
  <si>
    <t>WORRELL</t>
  </si>
  <si>
    <t>JAMIE</t>
  </si>
  <si>
    <t>FLICK</t>
  </si>
  <si>
    <t>JOEL</t>
  </si>
  <si>
    <t>BROWN</t>
  </si>
  <si>
    <t>WWW.SWEDESBORO-WOOLWICH.COM</t>
  </si>
  <si>
    <t>Township of Franklin School District</t>
  </si>
  <si>
    <t>Troy</t>
  </si>
  <si>
    <t>Walton</t>
  </si>
  <si>
    <t>twalton@franklintwpschools.org</t>
  </si>
  <si>
    <t>3228 Coles Mill Road</t>
  </si>
  <si>
    <t>08322-3029</t>
  </si>
  <si>
    <t>856-629-9500 x1201</t>
  </si>
  <si>
    <t>Lawren</t>
  </si>
  <si>
    <t>Birmingham</t>
  </si>
  <si>
    <t>Dobzanski</t>
  </si>
  <si>
    <t>Jaime</t>
  </si>
  <si>
    <t>Doldan</t>
  </si>
  <si>
    <t>Theodore</t>
  </si>
  <si>
    <t>Peters</t>
  </si>
  <si>
    <t>www.franklintwpschools.org</t>
  </si>
  <si>
    <t>Bollendorf</t>
  </si>
  <si>
    <t>jbollendorf@WTPS.ORG</t>
  </si>
  <si>
    <t>206 East Holly Avenue</t>
  </si>
  <si>
    <t>856-589-6644 X 6401</t>
  </si>
  <si>
    <t>Wechter</t>
  </si>
  <si>
    <t>Selby</t>
  </si>
  <si>
    <t>Carey</t>
  </si>
  <si>
    <t>www.wtps.org</t>
  </si>
  <si>
    <t>Wenonah  Boro School District</t>
  </si>
  <si>
    <t>Kristine</t>
  </si>
  <si>
    <t>Height</t>
  </si>
  <si>
    <t>kheight@wenonahschool.org</t>
  </si>
  <si>
    <t>200 N. Clinton Avenue</t>
  </si>
  <si>
    <t>Wenonah</t>
  </si>
  <si>
    <t>856-468-6000</t>
  </si>
  <si>
    <t>DiGiandomenico</t>
  </si>
  <si>
    <t>Kellie</t>
  </si>
  <si>
    <t>www.wenonahsd.org</t>
  </si>
  <si>
    <t>West Deptford Township School District</t>
  </si>
  <si>
    <t>gcappello@wdeptford.k12.nj.us</t>
  </si>
  <si>
    <t>675 Grove Road</t>
  </si>
  <si>
    <t>West Deptford</t>
  </si>
  <si>
    <t>08066-1999</t>
  </si>
  <si>
    <t>856-848-4300 X 3211</t>
  </si>
  <si>
    <t>Seifring</t>
  </si>
  <si>
    <t>Shawnequa</t>
  </si>
  <si>
    <t>Carvalho</t>
  </si>
  <si>
    <t>www.wdeptford.k12.nj.us</t>
  </si>
  <si>
    <t>Westville Boro Public School District</t>
  </si>
  <si>
    <t>101 Birch Street</t>
  </si>
  <si>
    <t>Westville</t>
  </si>
  <si>
    <t>856-848-8200 x201</t>
  </si>
  <si>
    <t>Rodia</t>
  </si>
  <si>
    <t>Cassidy</t>
  </si>
  <si>
    <t>www.westvillesd.com</t>
  </si>
  <si>
    <t>Woodbury City Public School District</t>
  </si>
  <si>
    <t>abell@woodburysch.com</t>
  </si>
  <si>
    <t>25 N. Broad Street</t>
  </si>
  <si>
    <t>Woodbury</t>
  </si>
  <si>
    <t>856-853-0123 x 230</t>
  </si>
  <si>
    <t>McCabe</t>
  </si>
  <si>
    <t>Jeffrey</t>
  </si>
  <si>
    <t>Myers</t>
  </si>
  <si>
    <t>Scavette</t>
  </si>
  <si>
    <t>www.woodburysch.com</t>
  </si>
  <si>
    <t>Woodbury Heights Public School District</t>
  </si>
  <si>
    <t>Janis</t>
  </si>
  <si>
    <t>Gansert</t>
  </si>
  <si>
    <t>jgansert@woodburyhtselem.com</t>
  </si>
  <si>
    <t>100 Academy Avenue</t>
  </si>
  <si>
    <t>08097-1499</t>
  </si>
  <si>
    <t>856-848-2610 x301</t>
  </si>
  <si>
    <t>www.woodburyhtselem.com</t>
  </si>
  <si>
    <t>HUDSON</t>
  </si>
  <si>
    <t>Bayonne School District</t>
  </si>
  <si>
    <t>Niesz</t>
  </si>
  <si>
    <t>jniesz@bboed.org</t>
  </si>
  <si>
    <t>669 Avenue A</t>
  </si>
  <si>
    <t>Bayonne</t>
  </si>
  <si>
    <t>201-858-5814</t>
  </si>
  <si>
    <t>Castles</t>
  </si>
  <si>
    <t>DeMedici</t>
  </si>
  <si>
    <t>Renae</t>
  </si>
  <si>
    <t>Bush</t>
  </si>
  <si>
    <t>Degnan</t>
  </si>
  <si>
    <t>Karee</t>
  </si>
  <si>
    <t>McAndrew</t>
  </si>
  <si>
    <t>Kopacz</t>
  </si>
  <si>
    <t>www.bboed.org</t>
  </si>
  <si>
    <t>BelovED Community Charter School</t>
  </si>
  <si>
    <t>Schultz</t>
  </si>
  <si>
    <t>kschultz@belovedccs.org</t>
  </si>
  <si>
    <t>508 Grand Street</t>
  </si>
  <si>
    <t>Jersey City</t>
  </si>
  <si>
    <t>201-630-4700</t>
  </si>
  <si>
    <t>Raschdorf</t>
  </si>
  <si>
    <t>Fearce</t>
  </si>
  <si>
    <t>Link</t>
  </si>
  <si>
    <t>Angel</t>
  </si>
  <si>
    <t>Soto</t>
  </si>
  <si>
    <t>www.belovedccs.org</t>
  </si>
  <si>
    <t>Dr Lena Edwards Academic Charter School</t>
  </si>
  <si>
    <t>Garlin</t>
  </si>
  <si>
    <t>Office of Education, Director</t>
  </si>
  <si>
    <t>CGarlin@drlenaedwardscharterschool.org</t>
  </si>
  <si>
    <t>509 Bramhall Ave.</t>
  </si>
  <si>
    <t>201-433-5300 x110</t>
  </si>
  <si>
    <t>Childs</t>
  </si>
  <si>
    <t>Brewer</t>
  </si>
  <si>
    <t>www.drlenaedwardscharterschool.org</t>
  </si>
  <si>
    <t>East Newark School District</t>
  </si>
  <si>
    <t>Corbett</t>
  </si>
  <si>
    <t>rcorbett@eastnewarkschool.org</t>
  </si>
  <si>
    <t>501-11 North Third Street</t>
  </si>
  <si>
    <t>East Newark</t>
  </si>
  <si>
    <t>973-481-6803</t>
  </si>
  <si>
    <t>Vizzuso</t>
  </si>
  <si>
    <t>Rosaura</t>
  </si>
  <si>
    <t>Bagolie</t>
  </si>
  <si>
    <t>Costeira</t>
  </si>
  <si>
    <t>www.eastnewarkschool.org</t>
  </si>
  <si>
    <t>Elysian Charter School</t>
  </si>
  <si>
    <t>Grierson</t>
  </si>
  <si>
    <t>susan.grierson@ecsnj.org</t>
  </si>
  <si>
    <t>1460 Garden Street</t>
  </si>
  <si>
    <t>Hoboken</t>
  </si>
  <si>
    <t>07030-4004</t>
  </si>
  <si>
    <t>201-876-0102</t>
  </si>
  <si>
    <t>Mone</t>
  </si>
  <si>
    <t>Darcy</t>
  </si>
  <si>
    <t>Minsky</t>
  </si>
  <si>
    <t>Dublanica</t>
  </si>
  <si>
    <t>www.ecsnj.org</t>
  </si>
  <si>
    <t>Empowerment Academy Charter School</t>
  </si>
  <si>
    <t>Gigl</t>
  </si>
  <si>
    <t>cgigl@empacad.org</t>
  </si>
  <si>
    <t>240 Ege Avenue</t>
  </si>
  <si>
    <t>201-630-4798</t>
  </si>
  <si>
    <t>Kamilah</t>
  </si>
  <si>
    <t>Heartwell</t>
  </si>
  <si>
    <t>Shona</t>
  </si>
  <si>
    <t>Anthong-Hendry</t>
  </si>
  <si>
    <t>www.empacad.org</t>
  </si>
  <si>
    <t>Guttenberg School District</t>
  </si>
  <si>
    <t>Rosenberg</t>
  </si>
  <si>
    <t>mrosenberg@alkschool.org</t>
  </si>
  <si>
    <t>301 69th Street</t>
  </si>
  <si>
    <t>Guttenberg</t>
  </si>
  <si>
    <t>07093-2411</t>
  </si>
  <si>
    <t>201-861-3100 x 12</t>
  </si>
  <si>
    <t>Jolene</t>
  </si>
  <si>
    <t>Mantineo</t>
  </si>
  <si>
    <t>Lucy</t>
  </si>
  <si>
    <t>Dimaulo</t>
  </si>
  <si>
    <t>Corregio</t>
  </si>
  <si>
    <t>Magenheimer</t>
  </si>
  <si>
    <t>Petry</t>
  </si>
  <si>
    <t>www.alkschool.org</t>
  </si>
  <si>
    <t>Harrison Public Schools</t>
  </si>
  <si>
    <t>Kroog</t>
  </si>
  <si>
    <t>maureen.kroog@staff.harrisonschools.org</t>
  </si>
  <si>
    <t>501 Hamilton Street</t>
  </si>
  <si>
    <t>Harrison</t>
  </si>
  <si>
    <t>973-483-4627</t>
  </si>
  <si>
    <t>Choffo</t>
  </si>
  <si>
    <t>Shewa</t>
  </si>
  <si>
    <t>Bayat</t>
  </si>
  <si>
    <t>McNichol</t>
  </si>
  <si>
    <t>Doran</t>
  </si>
  <si>
    <t>www.harrisonschools.org</t>
  </si>
  <si>
    <t>Hoboken Charter School</t>
  </si>
  <si>
    <t>Deirdra</t>
  </si>
  <si>
    <t>Grode</t>
  </si>
  <si>
    <t>dgrode@hobokencs.net</t>
  </si>
  <si>
    <t>713 Washington St</t>
  </si>
  <si>
    <t>201-963-0222</t>
  </si>
  <si>
    <t>Literati</t>
  </si>
  <si>
    <t>Fisher</t>
  </si>
  <si>
    <t>Kunkel</t>
  </si>
  <si>
    <t>Palma</t>
  </si>
  <si>
    <t>www.hobokencs.org</t>
  </si>
  <si>
    <t>Hoboken Dual Language Charter School</t>
  </si>
  <si>
    <t>Sargent</t>
  </si>
  <si>
    <t>jsargent@holahoboken.org</t>
  </si>
  <si>
    <t>123 Jefferson Street</t>
  </si>
  <si>
    <t>Paola</t>
  </si>
  <si>
    <t>Ramirez</t>
  </si>
  <si>
    <t>Interim Director of Student Services</t>
  </si>
  <si>
    <t>Marta</t>
  </si>
  <si>
    <t>Pizarro</t>
  </si>
  <si>
    <t>Doug</t>
  </si>
  <si>
    <t>Heyman</t>
  </si>
  <si>
    <t>http://holahoboken.org/</t>
  </si>
  <si>
    <t>Hoboken Public School District</t>
  </si>
  <si>
    <t>cjohnson@hoboken.k12.nj.us</t>
  </si>
  <si>
    <t>524 Park Avenue</t>
  </si>
  <si>
    <t>201-356-3601</t>
  </si>
  <si>
    <t>Joyce</t>
  </si>
  <si>
    <t>Goode</t>
  </si>
  <si>
    <t>Ceclia</t>
  </si>
  <si>
    <t>D'Elia</t>
  </si>
  <si>
    <t>Tamika</t>
  </si>
  <si>
    <t>Pollins</t>
  </si>
  <si>
    <t>Damien</t>
  </si>
  <si>
    <t>Arnone</t>
  </si>
  <si>
    <t>Werner</t>
  </si>
  <si>
    <t>www.hoboken.k12.nj.us</t>
  </si>
  <si>
    <t>Hudson Arts and Science Charter School</t>
  </si>
  <si>
    <t>Nihat</t>
  </si>
  <si>
    <t>Guvercin</t>
  </si>
  <si>
    <t>131 Midland Ave</t>
  </si>
  <si>
    <t>Kearny</t>
  </si>
  <si>
    <t>www.hudsoncharter.org</t>
  </si>
  <si>
    <t>Hudson County Schools of Technology School District</t>
  </si>
  <si>
    <t>Lin-Rodriguez</t>
  </si>
  <si>
    <t>alinrodriguez@hcstonline.org</t>
  </si>
  <si>
    <t>One High Tech Way</t>
  </si>
  <si>
    <t>Secaucus</t>
  </si>
  <si>
    <t>07094-1682</t>
  </si>
  <si>
    <t>201-662-6701</t>
  </si>
  <si>
    <t>Gherardi</t>
  </si>
  <si>
    <t>DiGiacomo</t>
  </si>
  <si>
    <t>Beatriz</t>
  </si>
  <si>
    <t>Amaro</t>
  </si>
  <si>
    <t>Asuncion</t>
  </si>
  <si>
    <t>LosBanos</t>
  </si>
  <si>
    <t>Shinnick</t>
  </si>
  <si>
    <t>www.hcstonline.org</t>
  </si>
  <si>
    <t>Jersey City Community Charter School</t>
  </si>
  <si>
    <t>AYANA</t>
  </si>
  <si>
    <t>WILLIAMS</t>
  </si>
  <si>
    <t>awilliams@jcccsonline.org</t>
  </si>
  <si>
    <t>128 Danforth Avenue</t>
  </si>
  <si>
    <t>201-433-2288</t>
  </si>
  <si>
    <t>Lenora</t>
  </si>
  <si>
    <t>Galleros</t>
  </si>
  <si>
    <t>Olin</t>
  </si>
  <si>
    <t>Tynesha</t>
  </si>
  <si>
    <t>Barnes-Vargas</t>
  </si>
  <si>
    <t>Earl</t>
  </si>
  <si>
    <t>Hart</t>
  </si>
  <si>
    <t>Gloria</t>
  </si>
  <si>
    <t>Enobio</t>
  </si>
  <si>
    <t>www.jcccsonline.org</t>
  </si>
  <si>
    <t>Jersey City Global Charter School</t>
  </si>
  <si>
    <t>Nadira</t>
  </si>
  <si>
    <t>Raghunandan-Jack</t>
  </si>
  <si>
    <t>nadirar@jcgcs.org</t>
  </si>
  <si>
    <t>255 Congress Street</t>
  </si>
  <si>
    <t>201-912-5298</t>
  </si>
  <si>
    <t>Lemuer</t>
  </si>
  <si>
    <t>Julia</t>
  </si>
  <si>
    <t>Abrams</t>
  </si>
  <si>
    <t>www.jcgcs.org</t>
  </si>
  <si>
    <t>Jersey City Golden Door Charter School</t>
  </si>
  <si>
    <t>Stiles</t>
  </si>
  <si>
    <t>bstiles@goldendoorschool.org</t>
  </si>
  <si>
    <t>3044 Kennedy Blvd</t>
  </si>
  <si>
    <t>3040 Kennedy Blvd</t>
  </si>
  <si>
    <t>201-795-4400</t>
  </si>
  <si>
    <t>Velelis</t>
  </si>
  <si>
    <t>Kruk</t>
  </si>
  <si>
    <t>Fanny</t>
  </si>
  <si>
    <t>Figueroa</t>
  </si>
  <si>
    <t>Hector</t>
  </si>
  <si>
    <t>Mesa</t>
  </si>
  <si>
    <t>www.goldendoorschool.org</t>
  </si>
  <si>
    <t>Jersey City Public Schools</t>
  </si>
  <si>
    <t>Walker</t>
  </si>
  <si>
    <t>fwalker@jcboe.org</t>
  </si>
  <si>
    <t>346 Claremont Avenue</t>
  </si>
  <si>
    <t>07305-1634</t>
  </si>
  <si>
    <t>201-915-6201</t>
  </si>
  <si>
    <t>Crisonino</t>
  </si>
  <si>
    <t>Christen</t>
  </si>
  <si>
    <t>Tramutola</t>
  </si>
  <si>
    <t>Debasis</t>
  </si>
  <si>
    <t>www.jcboe.org</t>
  </si>
  <si>
    <t>Blood</t>
  </si>
  <si>
    <t>pblood@kearnyschools.com</t>
  </si>
  <si>
    <t>172-174 Midland Avenue</t>
  </si>
  <si>
    <t>201-955-5021</t>
  </si>
  <si>
    <t>Lindenfelser</t>
  </si>
  <si>
    <t>Mc Shane</t>
  </si>
  <si>
    <t>Avitable</t>
  </si>
  <si>
    <t>Neil</t>
  </si>
  <si>
    <t>Brohm</t>
  </si>
  <si>
    <t>Way</t>
  </si>
  <si>
    <t>kearnyschools.com</t>
  </si>
  <si>
    <t>North Bergen School District</t>
  </si>
  <si>
    <t>Solter</t>
  </si>
  <si>
    <t>gsolter@northbergen.k12.nj.us</t>
  </si>
  <si>
    <t>7317 Kennedy Blvd</t>
  </si>
  <si>
    <t>North Bergen</t>
  </si>
  <si>
    <t>201-868-1234</t>
  </si>
  <si>
    <t>Somick</t>
  </si>
  <si>
    <t>Kornberg</t>
  </si>
  <si>
    <t>Bafumi</t>
  </si>
  <si>
    <t>DeBari</t>
  </si>
  <si>
    <t>www.northbergen.k12.nj.us</t>
  </si>
  <si>
    <t>Secaucus School District</t>
  </si>
  <si>
    <t>Montesano</t>
  </si>
  <si>
    <t>jmontesano@sboe.org</t>
  </si>
  <si>
    <t>685 FIFTH STREET</t>
  </si>
  <si>
    <t>SECAUCUS</t>
  </si>
  <si>
    <t>PO BOX 1496</t>
  </si>
  <si>
    <t>201-974-2000 X2113</t>
  </si>
  <si>
    <t>GRACE</t>
  </si>
  <si>
    <t>YEO</t>
  </si>
  <si>
    <t>DeVito</t>
  </si>
  <si>
    <t>Losurdo</t>
  </si>
  <si>
    <t>Jerome</t>
  </si>
  <si>
    <t>Kaiser</t>
  </si>
  <si>
    <t>www.sboe.org</t>
  </si>
  <si>
    <t>Soaring Heights Charter School</t>
  </si>
  <si>
    <t>Zuorick</t>
  </si>
  <si>
    <t>soaringheights07302@yahoo.com</t>
  </si>
  <si>
    <t>1 Romar Avenue</t>
  </si>
  <si>
    <t>201-434-4800</t>
  </si>
  <si>
    <t>Angelo</t>
  </si>
  <si>
    <t>Vilardi</t>
  </si>
  <si>
    <t>Cappiello</t>
  </si>
  <si>
    <t>Dinallo</t>
  </si>
  <si>
    <t>Quagliana</t>
  </si>
  <si>
    <t>www.shcsjc.org</t>
  </si>
  <si>
    <t>The Ethical Community Charter School</t>
  </si>
  <si>
    <t>Chloe</t>
  </si>
  <si>
    <t>chloe.lewis@teccsjc.org</t>
  </si>
  <si>
    <t>95 Broadway</t>
  </si>
  <si>
    <t>Serenity</t>
  </si>
  <si>
    <t>Christian</t>
  </si>
  <si>
    <t>Geoff</t>
  </si>
  <si>
    <t>Renaud</t>
  </si>
  <si>
    <t>Tyenah</t>
  </si>
  <si>
    <t>Pressley</t>
  </si>
  <si>
    <t>lewis</t>
  </si>
  <si>
    <t>http://www.teccs-jc.org/</t>
  </si>
  <si>
    <t>The Learning Community Charter School</t>
  </si>
  <si>
    <t>chogan@lccsnj.org</t>
  </si>
  <si>
    <t>2495 John  F Kennedy Blvd</t>
  </si>
  <si>
    <t>201-332-0900 x 14</t>
  </si>
  <si>
    <t>MacKenzie</t>
  </si>
  <si>
    <t>Rexer</t>
  </si>
  <si>
    <t>Rexter</t>
  </si>
  <si>
    <t>Melendez</t>
  </si>
  <si>
    <t>www.lccsnj.org</t>
  </si>
  <si>
    <t>Union City School District</t>
  </si>
  <si>
    <t>Abbato</t>
  </si>
  <si>
    <t>sabbato@union-city.k12.nj.us</t>
  </si>
  <si>
    <t>3912 Bergen Turnpike</t>
  </si>
  <si>
    <t>Union City</t>
  </si>
  <si>
    <t>201-348-5851</t>
  </si>
  <si>
    <t>Dragona</t>
  </si>
  <si>
    <t>Delia</t>
  </si>
  <si>
    <t>Menendez</t>
  </si>
  <si>
    <t>Katie</t>
  </si>
  <si>
    <t>Kirby</t>
  </si>
  <si>
    <t>Testa</t>
  </si>
  <si>
    <t>Escelaria</t>
  </si>
  <si>
    <t>Molinari</t>
  </si>
  <si>
    <t>www.union-city.k12.nj.us</t>
  </si>
  <si>
    <t>University Academy Charter High School</t>
  </si>
  <si>
    <t>Erie</t>
  </si>
  <si>
    <t>Lugo</t>
  </si>
  <si>
    <t>elugo@njcu.edu</t>
  </si>
  <si>
    <t>275 West Side Avenue</t>
  </si>
  <si>
    <t>201-200-3200 x3324</t>
  </si>
  <si>
    <t>Puzo</t>
  </si>
  <si>
    <t>Keisha</t>
  </si>
  <si>
    <t>Cuellar</t>
  </si>
  <si>
    <t>Allan</t>
  </si>
  <si>
    <t>Jauregui</t>
  </si>
  <si>
    <t>www.uachs.org</t>
  </si>
  <si>
    <t>Weehawken Public School District</t>
  </si>
  <si>
    <t>Crespo</t>
  </si>
  <si>
    <t>ecrespo@weehawken.k12.nj.us</t>
  </si>
  <si>
    <t>53 Liberty Place</t>
  </si>
  <si>
    <t xml:space="preserve">Weehawken Board of Education </t>
  </si>
  <si>
    <t>Weehawken</t>
  </si>
  <si>
    <t>Weehawken Board of Education</t>
  </si>
  <si>
    <t>201-422-6126</t>
  </si>
  <si>
    <t>Whitford</t>
  </si>
  <si>
    <t>Alfred</t>
  </si>
  <si>
    <t>Orecchio</t>
  </si>
  <si>
    <t>Francesca</t>
  </si>
  <si>
    <t>Milos</t>
  </si>
  <si>
    <t>Calligy</t>
  </si>
  <si>
    <t>Ferullo</t>
  </si>
  <si>
    <t>www.weehawken.k12.nj.us</t>
  </si>
  <si>
    <t>West New York School District</t>
  </si>
  <si>
    <t>Clara</t>
  </si>
  <si>
    <t>Herrera</t>
  </si>
  <si>
    <t>cherrera@wnyschools.net</t>
  </si>
  <si>
    <t>6028 Broadway</t>
  </si>
  <si>
    <t>West New York</t>
  </si>
  <si>
    <t>07093-2808</t>
  </si>
  <si>
    <t>201-553-4000 x30013</t>
  </si>
  <si>
    <t>Dean</t>
  </si>
  <si>
    <t>Cardenas</t>
  </si>
  <si>
    <t>Anastasia</t>
  </si>
  <si>
    <t>Olivero</t>
  </si>
  <si>
    <t>Calderone</t>
  </si>
  <si>
    <t>Yonarkis</t>
  </si>
  <si>
    <t>Estevez</t>
  </si>
  <si>
    <t>Wohlrab</t>
  </si>
  <si>
    <t>www.wnyschools.net</t>
  </si>
  <si>
    <t>HUNTERDON</t>
  </si>
  <si>
    <t>Alexandria Township School District</t>
  </si>
  <si>
    <t>McPeek</t>
  </si>
  <si>
    <t>mcpeek@alexandriaschools.org</t>
  </si>
  <si>
    <t>557 County Road 513</t>
  </si>
  <si>
    <t>Pittstown</t>
  </si>
  <si>
    <t>908-996-6811 x2202</t>
  </si>
  <si>
    <t>McCarthy</t>
  </si>
  <si>
    <t>Bills</t>
  </si>
  <si>
    <t>Garth</t>
  </si>
  <si>
    <t>Ferrante</t>
  </si>
  <si>
    <t>www.alexandriaschools.org</t>
  </si>
  <si>
    <t>Bethlehem Township School District</t>
  </si>
  <si>
    <t>Farley</t>
  </si>
  <si>
    <t>gfarley@btschools.org</t>
  </si>
  <si>
    <t>280 Asbury West Portal Road</t>
  </si>
  <si>
    <t>Asbury</t>
  </si>
  <si>
    <t>908-479-6336 x2222</t>
  </si>
  <si>
    <t>Vlietstra</t>
  </si>
  <si>
    <t>Sally</t>
  </si>
  <si>
    <t>Klemm</t>
  </si>
  <si>
    <t>Kamerone</t>
  </si>
  <si>
    <t>Jeter</t>
  </si>
  <si>
    <t>www.btschools.org</t>
  </si>
  <si>
    <t>Bloomsbury Borough School District</t>
  </si>
  <si>
    <t>Jenniffer</t>
  </si>
  <si>
    <t>Marycz</t>
  </si>
  <si>
    <t>jmarycz@bburyes.org</t>
  </si>
  <si>
    <t>20 Main Street</t>
  </si>
  <si>
    <t>Bloomsbury</t>
  </si>
  <si>
    <t>908-479-4414 x4</t>
  </si>
  <si>
    <t>Tim</t>
  </si>
  <si>
    <t>Mantz</t>
  </si>
  <si>
    <t>Matus</t>
  </si>
  <si>
    <t>Scuderi</t>
  </si>
  <si>
    <t>Bolmarcich</t>
  </si>
  <si>
    <t>www.bburyes.org</t>
  </si>
  <si>
    <t>Califon Borough School District</t>
  </si>
  <si>
    <t>Cone</t>
  </si>
  <si>
    <t>mcone@califonschool.org</t>
  </si>
  <si>
    <t>6 School St</t>
  </si>
  <si>
    <t>Califon</t>
  </si>
  <si>
    <t>908-832-2828</t>
  </si>
  <si>
    <t>Zarra</t>
  </si>
  <si>
    <t>Senn</t>
  </si>
  <si>
    <t>www.califonschool.org</t>
  </si>
  <si>
    <t>Clinton Township School District</t>
  </si>
  <si>
    <t>Johanna</t>
  </si>
  <si>
    <t>Ruberto</t>
  </si>
  <si>
    <t>jruberto@ctsdnj.org</t>
  </si>
  <si>
    <t>128 Cokesbury Road</t>
  </si>
  <si>
    <t>Lebanon</t>
  </si>
  <si>
    <t>908-236-7235</t>
  </si>
  <si>
    <t>Kramer</t>
  </si>
  <si>
    <t>Ingram</t>
  </si>
  <si>
    <t>Goad</t>
  </si>
  <si>
    <t>Paccione</t>
  </si>
  <si>
    <t>Hinkle</t>
  </si>
  <si>
    <t>Judith</t>
  </si>
  <si>
    <t>Hammond</t>
  </si>
  <si>
    <t>www.ctsdnj.org</t>
  </si>
  <si>
    <t>Clinton-Glen Gardner School District</t>
  </si>
  <si>
    <t>Seth</t>
  </si>
  <si>
    <t>scohen@cpsnj.org</t>
  </si>
  <si>
    <t>10 School Street</t>
  </si>
  <si>
    <t>Clinton</t>
  </si>
  <si>
    <t>908-735-8512</t>
  </si>
  <si>
    <t>Bernadette</t>
  </si>
  <si>
    <t>Wang</t>
  </si>
  <si>
    <t>Kastner</t>
  </si>
  <si>
    <t>Evans-Turner</t>
  </si>
  <si>
    <t>Reilly</t>
  </si>
  <si>
    <t>cpsnj.org</t>
  </si>
  <si>
    <t>Delaware Township School District</t>
  </si>
  <si>
    <t>Wiener</t>
  </si>
  <si>
    <t>rwiener@dtsk8.org</t>
  </si>
  <si>
    <t>501 Rosemont Ringoes Road</t>
  </si>
  <si>
    <t xml:space="preserve">PO Box 1000 </t>
  </si>
  <si>
    <t>Sergeantsville</t>
  </si>
  <si>
    <t>PO Box 1000</t>
  </si>
  <si>
    <t>609-397-2375</t>
  </si>
  <si>
    <t>Racile</t>
  </si>
  <si>
    <t>Perone</t>
  </si>
  <si>
    <t>www.dtsk8.org</t>
  </si>
  <si>
    <t>Delaware Valley Regional High School District</t>
  </si>
  <si>
    <t>Daria</t>
  </si>
  <si>
    <t>Wasserbach</t>
  </si>
  <si>
    <t>dariawasserbach@dvrhs.k12.nj.us</t>
  </si>
  <si>
    <t>19 SENATOR STOUT ROAD</t>
  </si>
  <si>
    <t>FRENCHTOWN</t>
  </si>
  <si>
    <t>908-996-6710</t>
  </si>
  <si>
    <t>Barna</t>
  </si>
  <si>
    <t>Morisie</t>
  </si>
  <si>
    <t>Sterbenc</t>
  </si>
  <si>
    <t>Woodland</t>
  </si>
  <si>
    <t>www.dvrhs.org</t>
  </si>
  <si>
    <t>East Amwell Township School District</t>
  </si>
  <si>
    <t>Stoloski</t>
  </si>
  <si>
    <t>estoloski@eastamwell.org</t>
  </si>
  <si>
    <t>43 Wertsville Road</t>
  </si>
  <si>
    <t>Ringoes</t>
  </si>
  <si>
    <t>08551-0680</t>
  </si>
  <si>
    <t>P.O. Box 680</t>
  </si>
  <si>
    <t>908-782-6464 x212</t>
  </si>
  <si>
    <t>Gara</t>
  </si>
  <si>
    <t>Royer</t>
  </si>
  <si>
    <t>Colt</t>
  </si>
  <si>
    <t>www.eastamwell.org</t>
  </si>
  <si>
    <t>Flemington-Raritan Regional School District</t>
  </si>
  <si>
    <t>Kari</t>
  </si>
  <si>
    <t>McGann</t>
  </si>
  <si>
    <t>kmcgann@frsd.k12.nj.us</t>
  </si>
  <si>
    <t>50 Court Street</t>
  </si>
  <si>
    <t>Flemington</t>
  </si>
  <si>
    <t>908-284-7575</t>
  </si>
  <si>
    <t>Hamblin</t>
  </si>
  <si>
    <t>Braynor</t>
  </si>
  <si>
    <t>Bland</t>
  </si>
  <si>
    <t>Losanno</t>
  </si>
  <si>
    <t>Sibilia</t>
  </si>
  <si>
    <t>www.frsd.k12.nj.us</t>
  </si>
  <si>
    <t>Franklin Township School District</t>
  </si>
  <si>
    <t>ndiaz@ftschool.org</t>
  </si>
  <si>
    <t>226 Quakertown Road</t>
  </si>
  <si>
    <t>Quakertown</t>
  </si>
  <si>
    <t>PO Box 368</t>
  </si>
  <si>
    <t>908-735-7929 x201</t>
  </si>
  <si>
    <t>Martucci</t>
  </si>
  <si>
    <t>Marchese</t>
  </si>
  <si>
    <t>LIndsay</t>
  </si>
  <si>
    <t>Gooditis</t>
  </si>
  <si>
    <t>McCusker</t>
  </si>
  <si>
    <t>www.ftschool.org</t>
  </si>
  <si>
    <t>Frenchtown Borough School District</t>
  </si>
  <si>
    <t>902 Harrison St.</t>
  </si>
  <si>
    <t>Frenchtown</t>
  </si>
  <si>
    <t>908-996-2727</t>
  </si>
  <si>
    <t>Hintenach</t>
  </si>
  <si>
    <t>Cristina</t>
  </si>
  <si>
    <t>Cirigliano</t>
  </si>
  <si>
    <t>https://www.dvrhs.org/FTSD</t>
  </si>
  <si>
    <t>Hampton Borough School District</t>
  </si>
  <si>
    <t>Kornegay</t>
  </si>
  <si>
    <t>jkornegay@hamptonpublicschool.org</t>
  </si>
  <si>
    <t>32-41 SOUTH STREET</t>
  </si>
  <si>
    <t>HAMPTON</t>
  </si>
  <si>
    <t>908-537-4101</t>
  </si>
  <si>
    <t>Marci</t>
  </si>
  <si>
    <t>Krasny</t>
  </si>
  <si>
    <t>Ruth Ann</t>
  </si>
  <si>
    <t>Dalrymple</t>
  </si>
  <si>
    <t>Bruno</t>
  </si>
  <si>
    <t>www.hamptonpublicschool.ORG</t>
  </si>
  <si>
    <t>High Bridge Borough School District</t>
  </si>
  <si>
    <t>Hobaugh</t>
  </si>
  <si>
    <t>hobaughg@hbschools.org</t>
  </si>
  <si>
    <t>40 Fairview Ave</t>
  </si>
  <si>
    <t>HIGH BRIDGE</t>
  </si>
  <si>
    <t>908-638-4105</t>
  </si>
  <si>
    <t>Jennings</t>
  </si>
  <si>
    <t>Fallon</t>
  </si>
  <si>
    <t>Kolton</t>
  </si>
  <si>
    <t>www.hbschools.org</t>
  </si>
  <si>
    <t>Holland Township School District</t>
  </si>
  <si>
    <t>Snyder</t>
  </si>
  <si>
    <t>ssnyd@hollandschool.org</t>
  </si>
  <si>
    <t>710 Milford Warren Glen Rd.</t>
  </si>
  <si>
    <t>Milford</t>
  </si>
  <si>
    <t>908-995-2401 x312</t>
  </si>
  <si>
    <t>Wardell</t>
  </si>
  <si>
    <t>Kries</t>
  </si>
  <si>
    <t>www.hollandschool.org</t>
  </si>
  <si>
    <t>Hunterdon Central Regional High School District</t>
  </si>
  <si>
    <t>jeffrey.moore@hcrhs.org</t>
  </si>
  <si>
    <t>84 Route 31</t>
  </si>
  <si>
    <t>84 State Highway 31</t>
  </si>
  <si>
    <t>908-284-7135</t>
  </si>
  <si>
    <t>Gymlyn</t>
  </si>
  <si>
    <t>Corbin</t>
  </si>
  <si>
    <t>Suter</t>
  </si>
  <si>
    <t>Estrada</t>
  </si>
  <si>
    <t>Kurilew</t>
  </si>
  <si>
    <t>Marron</t>
  </si>
  <si>
    <t>Ebner</t>
  </si>
  <si>
    <t>www.hcrhs.org</t>
  </si>
  <si>
    <t>Hunterdon County Educational Services Commission</t>
  </si>
  <si>
    <t>Gorey</t>
  </si>
  <si>
    <t>mgorey@hunterdonesc.org</t>
  </si>
  <si>
    <t>37 Hoffmans Crossing Rd</t>
  </si>
  <si>
    <t>908-439-4280 x4500</t>
  </si>
  <si>
    <t>Corinne</t>
  </si>
  <si>
    <t>Steinmetz</t>
  </si>
  <si>
    <t>Lutzky</t>
  </si>
  <si>
    <t>Lutsky</t>
  </si>
  <si>
    <t>Schiller</t>
  </si>
  <si>
    <t>Ashton</t>
  </si>
  <si>
    <t>www.hunterdonesc.org</t>
  </si>
  <si>
    <t>Hunterdon County Vocational School District</t>
  </si>
  <si>
    <t>Bonsall</t>
  </si>
  <si>
    <t>tbonsall@hcvsd.org</t>
  </si>
  <si>
    <t>10 Junction Road</t>
  </si>
  <si>
    <t>908-788-1119 x2001</t>
  </si>
  <si>
    <t>Kucowski</t>
  </si>
  <si>
    <t>Griesinger</t>
  </si>
  <si>
    <t>Nalesnik</t>
  </si>
  <si>
    <t>www.hcpolytech.org</t>
  </si>
  <si>
    <t>Kingwood Township School District</t>
  </si>
  <si>
    <t>Rick</t>
  </si>
  <si>
    <t>Falkenstein</t>
  </si>
  <si>
    <t>rfalkenstein@kingwoodschool.org</t>
  </si>
  <si>
    <t>880 COUNTY RD 519</t>
  </si>
  <si>
    <t>908-996-2941</t>
  </si>
  <si>
    <t>Callanan</t>
  </si>
  <si>
    <t>Loveland</t>
  </si>
  <si>
    <t>WWW.KINGWOODSCHOOL.ORG</t>
  </si>
  <si>
    <t>Lebanon Borough School District</t>
  </si>
  <si>
    <t>Arcurio</t>
  </si>
  <si>
    <t>barcurio@lebanonschool.org</t>
  </si>
  <si>
    <t>6 Maple Street</t>
  </si>
  <si>
    <t>Lebanon Borough</t>
  </si>
  <si>
    <t>908-236-2448</t>
  </si>
  <si>
    <t>Duell</t>
  </si>
  <si>
    <t>www.lebanonschool.org</t>
  </si>
  <si>
    <t>Lebanon Township School District</t>
  </si>
  <si>
    <t>jkornegay@lebtwpk8.org</t>
  </si>
  <si>
    <t>70 Bunnvale Road</t>
  </si>
  <si>
    <t>908-638-4521</t>
  </si>
  <si>
    <t>Abigail</t>
  </si>
  <si>
    <t>Andrade</t>
  </si>
  <si>
    <t>Dowd</t>
  </si>
  <si>
    <t>www.lebtwpk8.org</t>
  </si>
  <si>
    <t>Milford Borough School District</t>
  </si>
  <si>
    <t>rfalkenstein@milfordpublicschool.com</t>
  </si>
  <si>
    <t>7 Hillside Avenue</t>
  </si>
  <si>
    <t>908-995-4349</t>
  </si>
  <si>
    <t>St. Laurent</t>
  </si>
  <si>
    <t>www.milfordpublicschool.com</t>
  </si>
  <si>
    <t>North Hunterdon-Voorhees Regional High School District</t>
  </si>
  <si>
    <t>jbender@nhvweb.net</t>
  </si>
  <si>
    <t>1445 State Route 31</t>
  </si>
  <si>
    <t>Annandale</t>
  </si>
  <si>
    <t>908-735-2846 x5101</t>
  </si>
  <si>
    <t>Blew</t>
  </si>
  <si>
    <t>Zulejka</t>
  </si>
  <si>
    <t>Baharev</t>
  </si>
  <si>
    <t>Bergacs</t>
  </si>
  <si>
    <t>Broan</t>
  </si>
  <si>
    <t>Guillermo</t>
  </si>
  <si>
    <t>Vargas-Dellacasa</t>
  </si>
  <si>
    <t>Shane</t>
  </si>
  <si>
    <t>Berry</t>
  </si>
  <si>
    <t>http://www.nhvweb.net</t>
  </si>
  <si>
    <t>Readington Township School District</t>
  </si>
  <si>
    <t>jhart@readington.k12.nj.us</t>
  </si>
  <si>
    <t>52  Readington Road</t>
  </si>
  <si>
    <t>Whitehouse Station</t>
  </si>
  <si>
    <t>52 Readington Road</t>
  </si>
  <si>
    <t>PO Box 807</t>
  </si>
  <si>
    <t>908-534-2195 x1</t>
  </si>
  <si>
    <t>Bohm</t>
  </si>
  <si>
    <t>Staci</t>
  </si>
  <si>
    <t>Beegle</t>
  </si>
  <si>
    <t>Tumolo</t>
  </si>
  <si>
    <t>Pauch</t>
  </si>
  <si>
    <t>Belske</t>
  </si>
  <si>
    <t>Don</t>
  </si>
  <si>
    <t>Race</t>
  </si>
  <si>
    <t>www.readington.k12.nj.us</t>
  </si>
  <si>
    <t>South Hunterdon Regional School District</t>
  </si>
  <si>
    <t>Suozzo</t>
  </si>
  <si>
    <t>anthony.suozzo@shrsd.org</t>
  </si>
  <si>
    <t>301 Mt. Airy-Harbourton Rd</t>
  </si>
  <si>
    <t>Lambertville</t>
  </si>
  <si>
    <t>08530-3210</t>
  </si>
  <si>
    <t>609-397-1888 x1222</t>
  </si>
  <si>
    <t>Sevilis</t>
  </si>
  <si>
    <t>Blankman</t>
  </si>
  <si>
    <t>Christofely</t>
  </si>
  <si>
    <t>Hewitt</t>
  </si>
  <si>
    <t>Cifelli</t>
  </si>
  <si>
    <t>www.shrsd.org</t>
  </si>
  <si>
    <t>Tewksbury Township School District</t>
  </si>
  <si>
    <t>Shouffler</t>
  </si>
  <si>
    <t>jshouffler@tewksburyschools.org</t>
  </si>
  <si>
    <t>173 Old Turnpike Road</t>
  </si>
  <si>
    <t>908-439-2010 x 4224</t>
  </si>
  <si>
    <t>Tirone</t>
  </si>
  <si>
    <t>Verderamo</t>
  </si>
  <si>
    <t>www.tewksburyschools.org</t>
  </si>
  <si>
    <t>Union Township School District</t>
  </si>
  <si>
    <t>ndiaz@uniontwpschool.org</t>
  </si>
  <si>
    <t>149 Perryville Road</t>
  </si>
  <si>
    <t>Hampton</t>
  </si>
  <si>
    <t>908-238-6004</t>
  </si>
  <si>
    <t>Ballance</t>
  </si>
  <si>
    <t>Carfley</t>
  </si>
  <si>
    <t>www.uniontwpschool.org</t>
  </si>
  <si>
    <t>MERCER</t>
  </si>
  <si>
    <t>Achievers Early College Prep Charter School</t>
  </si>
  <si>
    <t>Efe</t>
  </si>
  <si>
    <t>Odeleye</t>
  </si>
  <si>
    <t>eodeleye@achieversecp.org</t>
  </si>
  <si>
    <t>500 Smith Street</t>
  </si>
  <si>
    <t>609-429-0279</t>
  </si>
  <si>
    <t>Anderson-Guerrero</t>
  </si>
  <si>
    <t>Hill Brady</t>
  </si>
  <si>
    <t>http://achieversecp.org/</t>
  </si>
  <si>
    <t>Area Vocational Technical Schools of Mercer County</t>
  </si>
  <si>
    <t>Schneider</t>
  </si>
  <si>
    <t>kschneider@mcts.edu</t>
  </si>
  <si>
    <t>1085 Old Trenton Rd</t>
  </si>
  <si>
    <t>609-586-2129 x1215</t>
  </si>
  <si>
    <t>Hice DePugh</t>
  </si>
  <si>
    <t>Fazzone</t>
  </si>
  <si>
    <t>Hillman</t>
  </si>
  <si>
    <t>www.mcts.edu</t>
  </si>
  <si>
    <t>East Windsor Regional School District</t>
  </si>
  <si>
    <t>Daniels</t>
  </si>
  <si>
    <t>mdaniels@ewrsd.k12.nj.us</t>
  </si>
  <si>
    <t>25A LESHIN LANE</t>
  </si>
  <si>
    <t>HIGHTSTOWN</t>
  </si>
  <si>
    <t>609-443-7717 X2020</t>
  </si>
  <si>
    <t>Roe</t>
  </si>
  <si>
    <t>Beckman</t>
  </si>
  <si>
    <t>Gabbai</t>
  </si>
  <si>
    <t>Svoboda</t>
  </si>
  <si>
    <t>www.ewrsd.org</t>
  </si>
  <si>
    <t>Ewing Township School District</t>
  </si>
  <si>
    <t>Nitti</t>
  </si>
  <si>
    <t>mnitti@ewingboe.org</t>
  </si>
  <si>
    <t>2099 Pennington Rd</t>
  </si>
  <si>
    <t>Ewing</t>
  </si>
  <si>
    <t>609-538-9800 x1102</t>
  </si>
  <si>
    <t>Nettleton</t>
  </si>
  <si>
    <t>Louth</t>
  </si>
  <si>
    <t>www.ewing.k12.nj.us</t>
  </si>
  <si>
    <t>Foundation Academy Charter School</t>
  </si>
  <si>
    <t>Graig</t>
  </si>
  <si>
    <t>gweiss@foundationacademy.org</t>
  </si>
  <si>
    <t>363 West State St</t>
  </si>
  <si>
    <t>609-920-9200</t>
  </si>
  <si>
    <t>Lessard</t>
  </si>
  <si>
    <t>Sheria</t>
  </si>
  <si>
    <t>McRae</t>
  </si>
  <si>
    <t>Zjawin</t>
  </si>
  <si>
    <t>Castagne</t>
  </si>
  <si>
    <t>Sroka</t>
  </si>
  <si>
    <t>www.foundationacademies.org</t>
  </si>
  <si>
    <t>Hamilton Township Public School District</t>
  </si>
  <si>
    <t>Rocco</t>
  </si>
  <si>
    <t>srocco@htsdnj.org</t>
  </si>
  <si>
    <t>90 Park Avenue</t>
  </si>
  <si>
    <t>609-631-4100 x3058</t>
  </si>
  <si>
    <t>Attwood</t>
  </si>
  <si>
    <t>Audino</t>
  </si>
  <si>
    <t>Jay</t>
  </si>
  <si>
    <t>Bobetich</t>
  </si>
  <si>
    <t>O'Boyle</t>
  </si>
  <si>
    <t>www.htsdnj.org</t>
  </si>
  <si>
    <t>Hopewell Valley Regional School District</t>
  </si>
  <si>
    <t>thomassmith@hvrsd.org</t>
  </si>
  <si>
    <t>425 South Main St</t>
  </si>
  <si>
    <t>Pennington</t>
  </si>
  <si>
    <t>609-737-4002 x2101</t>
  </si>
  <si>
    <t>Colavita</t>
  </si>
  <si>
    <t>Paulette</t>
  </si>
  <si>
    <t>DiNardo</t>
  </si>
  <si>
    <t>Rotondo</t>
  </si>
  <si>
    <t>Umstead</t>
  </si>
  <si>
    <t>Schmidt</t>
  </si>
  <si>
    <t>Tana</t>
  </si>
  <si>
    <t>www.hvrsd.org</t>
  </si>
  <si>
    <t>International Charter School of Trenton</t>
  </si>
  <si>
    <t>Benford</t>
  </si>
  <si>
    <t>Mbenford@internationalcs.org</t>
  </si>
  <si>
    <t>105 Grand Street</t>
  </si>
  <si>
    <t>08611-2417</t>
  </si>
  <si>
    <t>609-394-3111</t>
  </si>
  <si>
    <t>Lanzi</t>
  </si>
  <si>
    <t>Internationalcs.org</t>
  </si>
  <si>
    <t>Lawrence Township Public School District</t>
  </si>
  <si>
    <t>Kasun</t>
  </si>
  <si>
    <t>RKasun@LTPS.org</t>
  </si>
  <si>
    <t>2565 Princeton Pike</t>
  </si>
  <si>
    <t>Lawrenceville</t>
  </si>
  <si>
    <t>609-671-5405</t>
  </si>
  <si>
    <t>Eldridge</t>
  </si>
  <si>
    <t>Mithaug</t>
  </si>
  <si>
    <t>Fillmyer</t>
  </si>
  <si>
    <t>Prentiss</t>
  </si>
  <si>
    <t>Zuckerman</t>
  </si>
  <si>
    <t>www.ltps.org</t>
  </si>
  <si>
    <t>Mercer County Special Services School District</t>
  </si>
  <si>
    <t>kschneider@mcsssd.us</t>
  </si>
  <si>
    <t>1020 Old Trenton Road</t>
  </si>
  <si>
    <t xml:space="preserve">2nd Floor </t>
  </si>
  <si>
    <t>2nd Floor</t>
  </si>
  <si>
    <t>609-631-2102</t>
  </si>
  <si>
    <t>Bigos</t>
  </si>
  <si>
    <t>Carline</t>
  </si>
  <si>
    <t>Mirthil</t>
  </si>
  <si>
    <t>Moller</t>
  </si>
  <si>
    <t>HIllman</t>
  </si>
  <si>
    <t>www.mcsssd.org</t>
  </si>
  <si>
    <t>Pace Charter School of Hamilton</t>
  </si>
  <si>
    <t>dpontoriero@pace.charter.k12.nj.us</t>
  </si>
  <si>
    <t>1949 Hamilton Ave.</t>
  </si>
  <si>
    <t>609-587-2210</t>
  </si>
  <si>
    <t>www.pace.charter.k12.nj.us</t>
  </si>
  <si>
    <t>Paul Robeson Charter School for the Humanities</t>
  </si>
  <si>
    <t>Freya</t>
  </si>
  <si>
    <t>Lund</t>
  </si>
  <si>
    <t>flund@paulrobesoncs.org</t>
  </si>
  <si>
    <t>643 Indiana Ave.</t>
  </si>
  <si>
    <t>08638-3821</t>
  </si>
  <si>
    <t>609-394-7727 x31114</t>
  </si>
  <si>
    <t>Waters</t>
  </si>
  <si>
    <t>Spotwood</t>
  </si>
  <si>
    <t>www.paulrobesoncs.org</t>
  </si>
  <si>
    <t>Princeton Charter School</t>
  </si>
  <si>
    <t>Patton</t>
  </si>
  <si>
    <t>lpatton@princetoncharter.org</t>
  </si>
  <si>
    <t>100 Bunn Drive</t>
  </si>
  <si>
    <t>Princeton</t>
  </si>
  <si>
    <t>08540-2821</t>
  </si>
  <si>
    <t>609-924-0575 x 2501</t>
  </si>
  <si>
    <t>Gail</t>
  </si>
  <si>
    <t>Wilbur</t>
  </si>
  <si>
    <t>Kushner</t>
  </si>
  <si>
    <t>Farrel</t>
  </si>
  <si>
    <t>www.pcs.k12.nj.us</t>
  </si>
  <si>
    <t>Princeton Public Schools</t>
  </si>
  <si>
    <t>barrygalasso@princetonk12.org</t>
  </si>
  <si>
    <t>25 Valley Road</t>
  </si>
  <si>
    <t>609-806-4220</t>
  </si>
  <si>
    <t>Bouldin</t>
  </si>
  <si>
    <t>Micki</t>
  </si>
  <si>
    <t>Crisafulli</t>
  </si>
  <si>
    <t>Warren</t>
  </si>
  <si>
    <t>Mridula</t>
  </si>
  <si>
    <t>Bajaj</t>
  </si>
  <si>
    <t>Galyon</t>
  </si>
  <si>
    <t>www.princetonk12.org</t>
  </si>
  <si>
    <t>Robbinsville Public Schools</t>
  </si>
  <si>
    <t>Betze</t>
  </si>
  <si>
    <t>155 Robbinsville Edinburg Rd.</t>
  </si>
  <si>
    <t>Robbinsville</t>
  </si>
  <si>
    <t>609-632-0910 x1</t>
  </si>
  <si>
    <t>Mackres</t>
  </si>
  <si>
    <t>Rajneet</t>
  </si>
  <si>
    <t>Goomer</t>
  </si>
  <si>
    <t>Tew</t>
  </si>
  <si>
    <t>Deck</t>
  </si>
  <si>
    <t>Molly</t>
  </si>
  <si>
    <t>Avery</t>
  </si>
  <si>
    <t>www.robbinsville.k12.nj.us</t>
  </si>
  <si>
    <t>The Village Charter School</t>
  </si>
  <si>
    <t>Judy</t>
  </si>
  <si>
    <t>jbrown@villagecharter.org</t>
  </si>
  <si>
    <t>101 Sullivan Way</t>
  </si>
  <si>
    <t>609-695-0110 x 100</t>
  </si>
  <si>
    <t>Flim</t>
  </si>
  <si>
    <t>Chacaya</t>
  </si>
  <si>
    <t>Powell</t>
  </si>
  <si>
    <t>www.villagecharter.org</t>
  </si>
  <si>
    <t>Trenton Public Schools</t>
  </si>
  <si>
    <t>Alfonso</t>
  </si>
  <si>
    <t>Llano</t>
  </si>
  <si>
    <t>allano@trenton.k12.nj.us</t>
  </si>
  <si>
    <t>108 North Clinton Avenue</t>
  </si>
  <si>
    <t>609-656-5496</t>
  </si>
  <si>
    <t>Jayne</t>
  </si>
  <si>
    <t>Selena</t>
  </si>
  <si>
    <t>Terrance</t>
  </si>
  <si>
    <t>Stokes</t>
  </si>
  <si>
    <t>Desimone</t>
  </si>
  <si>
    <t>Wilfredo</t>
  </si>
  <si>
    <t>http://www.trenton.k12.nj.us</t>
  </si>
  <si>
    <t>Trenton Stem-to-Civics Charter School</t>
  </si>
  <si>
    <t>Leigh</t>
  </si>
  <si>
    <t>Byron</t>
  </si>
  <si>
    <t>leigh.byron@stemcivics.org</t>
  </si>
  <si>
    <t>1555 Pennington Road</t>
  </si>
  <si>
    <t>609-619-2000</t>
  </si>
  <si>
    <t>Snuffin</t>
  </si>
  <si>
    <t>Wood</t>
  </si>
  <si>
    <t>Ellen</t>
  </si>
  <si>
    <t>Healy</t>
  </si>
  <si>
    <t>www.stemcivics.org</t>
  </si>
  <si>
    <t>West Windsor-Plainsboro Regional School District</t>
  </si>
  <si>
    <t>Aderhold</t>
  </si>
  <si>
    <t>david.aderhold@ww-p.org</t>
  </si>
  <si>
    <t>321 Village Rd East</t>
  </si>
  <si>
    <t>West Windsor</t>
  </si>
  <si>
    <t>609-716-5000 x5040</t>
  </si>
  <si>
    <t>Slagle</t>
  </si>
  <si>
    <t>McDonald</t>
  </si>
  <si>
    <t>Capaci</t>
  </si>
  <si>
    <t>Cave</t>
  </si>
  <si>
    <t>http://www.ww-p.org/</t>
  </si>
  <si>
    <t>MIDDLESEX</t>
  </si>
  <si>
    <t>Academy for Urban Leadership Charter School</t>
  </si>
  <si>
    <t>Morales</t>
  </si>
  <si>
    <t>MMorales@aulcs.org</t>
  </si>
  <si>
    <t>612 Amboy Ave</t>
  </si>
  <si>
    <t>Perth Amboy</t>
  </si>
  <si>
    <t>848-203-3742 x101</t>
  </si>
  <si>
    <t>Jilian</t>
  </si>
  <si>
    <t>Rise</t>
  </si>
  <si>
    <t>CathyJo</t>
  </si>
  <si>
    <t>Lombardi</t>
  </si>
  <si>
    <t>www.aulcs.org</t>
  </si>
  <si>
    <t>Carteret Public School District</t>
  </si>
  <si>
    <t>rdiaz@carteretschools.org</t>
  </si>
  <si>
    <t>599 Roosevelt Avenue</t>
  </si>
  <si>
    <t>Carteret</t>
  </si>
  <si>
    <t>07008-2912</t>
  </si>
  <si>
    <t>732-541-8960 x6001</t>
  </si>
  <si>
    <t>Berrios</t>
  </si>
  <si>
    <t>Cherney</t>
  </si>
  <si>
    <t>Veronica</t>
  </si>
  <si>
    <t>Pitts</t>
  </si>
  <si>
    <t>Zimmer</t>
  </si>
  <si>
    <t>Donald</t>
  </si>
  <si>
    <t>Dekolf</t>
  </si>
  <si>
    <t>Powers</t>
  </si>
  <si>
    <t>http://www.carteretschools.org</t>
  </si>
  <si>
    <t>Cranbury Township School District</t>
  </si>
  <si>
    <t>Genco</t>
  </si>
  <si>
    <t>sgenco@cranburyschool.org</t>
  </si>
  <si>
    <t>23 North Main Street</t>
  </si>
  <si>
    <t>Cranbury</t>
  </si>
  <si>
    <t>08512-3257</t>
  </si>
  <si>
    <t>609-395-1700</t>
  </si>
  <si>
    <t>Kipness</t>
  </si>
  <si>
    <t>Waldron</t>
  </si>
  <si>
    <t>Nichols</t>
  </si>
  <si>
    <t>www.cranburyschool.org</t>
  </si>
  <si>
    <t>Dunellen Public School District</t>
  </si>
  <si>
    <t>Eugene</t>
  </si>
  <si>
    <t>Mosley</t>
  </si>
  <si>
    <t>mosleyg@dunellenschools.org</t>
  </si>
  <si>
    <t>400 High Street</t>
  </si>
  <si>
    <t>Dunellen</t>
  </si>
  <si>
    <t>08812-1520</t>
  </si>
  <si>
    <t>732-400-5900 x1000</t>
  </si>
  <si>
    <t>Johnny</t>
  </si>
  <si>
    <t>Lamoglia</t>
  </si>
  <si>
    <t>Hoy-Weiberth</t>
  </si>
  <si>
    <t>Petzinger</t>
  </si>
  <si>
    <t>Cuyler</t>
  </si>
  <si>
    <t>Tobin</t>
  </si>
  <si>
    <t>www.dunellenschools.org</t>
  </si>
  <si>
    <t>East Brunswick Township School District</t>
  </si>
  <si>
    <t>Valeski</t>
  </si>
  <si>
    <t>vpvaleski@ebnet.org</t>
  </si>
  <si>
    <t>760 Route 18</t>
  </si>
  <si>
    <t>East Brunswick</t>
  </si>
  <si>
    <t>732-613-6705</t>
  </si>
  <si>
    <t>Giuliana</t>
  </si>
  <si>
    <t>Trudy</t>
  </si>
  <si>
    <t>Atkins</t>
  </si>
  <si>
    <t>LaTronica</t>
  </si>
  <si>
    <t>www.ebnet.org</t>
  </si>
  <si>
    <t>Edison Township School District</t>
  </si>
  <si>
    <t>Bernard</t>
  </si>
  <si>
    <t>Bragen</t>
  </si>
  <si>
    <t>bernard.bragen@edison.k12.nj.us</t>
  </si>
  <si>
    <t>312 Pierson Avenue</t>
  </si>
  <si>
    <t>Edison</t>
  </si>
  <si>
    <t>732-452-4961</t>
  </si>
  <si>
    <t>Kissane</t>
  </si>
  <si>
    <t>Emilio</t>
  </si>
  <si>
    <t>Barca</t>
  </si>
  <si>
    <t>http://www.edison.k12.nj.us</t>
  </si>
  <si>
    <t>Educational Services Commission of New Jersey</t>
  </si>
  <si>
    <t>Finkelstein</t>
  </si>
  <si>
    <t>mfinkelstein@escnj.us</t>
  </si>
  <si>
    <t>1660 Stelton Road</t>
  </si>
  <si>
    <t>Piscataway</t>
  </si>
  <si>
    <t>08854-5917</t>
  </si>
  <si>
    <t>732-777-9848 x3200</t>
  </si>
  <si>
    <t>Molenaar</t>
  </si>
  <si>
    <t>Micahel</t>
  </si>
  <si>
    <t>Reinke</t>
  </si>
  <si>
    <t>Kate</t>
  </si>
  <si>
    <t>www.escnj.us</t>
  </si>
  <si>
    <t>Greater Brunswick Charter School</t>
  </si>
  <si>
    <t>vanessa.jones@greaterbrunswick.org</t>
  </si>
  <si>
    <t>429 Joyce Kilmer Avenue</t>
  </si>
  <si>
    <t>New Brunswick</t>
  </si>
  <si>
    <t>732-448-1052 x167</t>
  </si>
  <si>
    <t>Goz</t>
  </si>
  <si>
    <t>Rine</t>
  </si>
  <si>
    <t>Newton</t>
  </si>
  <si>
    <t>www.greaterbrunswick.org</t>
  </si>
  <si>
    <t>Hatikvah International Academy Charter School</t>
  </si>
  <si>
    <t>Marcia</t>
  </si>
  <si>
    <t>mgrayson@hiacs.org</t>
  </si>
  <si>
    <t>7 Lexington Avenue</t>
  </si>
  <si>
    <t>732-254-8300 x108</t>
  </si>
  <si>
    <t>Chevy</t>
  </si>
  <si>
    <t>Speiser</t>
  </si>
  <si>
    <t>Winder</t>
  </si>
  <si>
    <t>www.hatikvahcharterschool.com</t>
  </si>
  <si>
    <t>Highland Park Boro School District</t>
  </si>
  <si>
    <t>SCOTT</t>
  </si>
  <si>
    <t>TAYLOR</t>
  </si>
  <si>
    <t>TAYLOR@HPSCHOOLS.NET</t>
  </si>
  <si>
    <t>435 MANSFIELD STREET</t>
  </si>
  <si>
    <t>HIGHLAND PARK</t>
  </si>
  <si>
    <t>732-572-6990 X5813</t>
  </si>
  <si>
    <t>LINDA</t>
  </si>
  <si>
    <t>HOEFELE</t>
  </si>
  <si>
    <t>SUSIE</t>
  </si>
  <si>
    <t>BUDINE</t>
  </si>
  <si>
    <t>ELIZABETH</t>
  </si>
  <si>
    <t>ASAMOAH</t>
  </si>
  <si>
    <t>KRISTINA</t>
  </si>
  <si>
    <t>NICOSIA</t>
  </si>
  <si>
    <t>JASON</t>
  </si>
  <si>
    <t>RICHARDSON</t>
  </si>
  <si>
    <t>WWW.HPSCHOOLS.NET</t>
  </si>
  <si>
    <t>Jamesburg Public School District</t>
  </si>
  <si>
    <t>Villani</t>
  </si>
  <si>
    <t>gvillani@jamesburg.org</t>
  </si>
  <si>
    <t>13 AUGUSTA STREET</t>
  </si>
  <si>
    <t>JAMESBURG</t>
  </si>
  <si>
    <t>732-521-0303</t>
  </si>
  <si>
    <t>Brennan</t>
  </si>
  <si>
    <t>Chad</t>
  </si>
  <si>
    <t>Donahue</t>
  </si>
  <si>
    <t>www.jamesburg.org</t>
  </si>
  <si>
    <t>Metuchen Public School District</t>
  </si>
  <si>
    <t>vcaputo@metboe.k12.nj.us</t>
  </si>
  <si>
    <t>16 Simpson Place</t>
  </si>
  <si>
    <t>Metuchen</t>
  </si>
  <si>
    <t>732-321-8700 x1016</t>
  </si>
  <si>
    <t>Harvier</t>
  </si>
  <si>
    <t>Herzog</t>
  </si>
  <si>
    <t>Rubin</t>
  </si>
  <si>
    <t>Thumann</t>
  </si>
  <si>
    <t>Porowski</t>
  </si>
  <si>
    <t>www.metuchenschools.org</t>
  </si>
  <si>
    <t>Middlesex Borough School District</t>
  </si>
  <si>
    <t>Frederick</t>
  </si>
  <si>
    <t>williamsf@middlesex.k12.nj.us</t>
  </si>
  <si>
    <t>300 John F. Kennedy Drive</t>
  </si>
  <si>
    <t>Middlesex</t>
  </si>
  <si>
    <t>732-317-6000 x20301</t>
  </si>
  <si>
    <t>Loree</t>
  </si>
  <si>
    <t>TaNia</t>
  </si>
  <si>
    <t>Dimino</t>
  </si>
  <si>
    <t>Gianchiglia</t>
  </si>
  <si>
    <t>www.middlesex.k12.nj.us</t>
  </si>
  <si>
    <t>Middlesex County STEM Charter School</t>
  </si>
  <si>
    <t>Namik</t>
  </si>
  <si>
    <t>Sercan</t>
  </si>
  <si>
    <t>sercan@middlesexcharter.org</t>
  </si>
  <si>
    <t>430 Market Street</t>
  </si>
  <si>
    <t>732-649-3954 x1001</t>
  </si>
  <si>
    <t>Fatih</t>
  </si>
  <si>
    <t>Kayalar</t>
  </si>
  <si>
    <t>Jazmyne</t>
  </si>
  <si>
    <t>Meyer</t>
  </si>
  <si>
    <t>Abdelhamid</t>
  </si>
  <si>
    <t>Tozan</t>
  </si>
  <si>
    <t>www.middlesexcharter.org</t>
  </si>
  <si>
    <t>Middlesex County Vocational and Technical School District</t>
  </si>
  <si>
    <t>Dianne</t>
  </si>
  <si>
    <t>Veilleux</t>
  </si>
  <si>
    <t>veilleuxd@mcvts.net</t>
  </si>
  <si>
    <t>112 Rues Lane</t>
  </si>
  <si>
    <t>08816-1070</t>
  </si>
  <si>
    <t>PO Box 1070</t>
  </si>
  <si>
    <t>732-257-3300 x1911</t>
  </si>
  <si>
    <t>Karl</t>
  </si>
  <si>
    <t>Knehr</t>
  </si>
  <si>
    <t>Bicsko</t>
  </si>
  <si>
    <t>Gallant</t>
  </si>
  <si>
    <t>Arismendy</t>
  </si>
  <si>
    <t>Almonte</t>
  </si>
  <si>
    <t>www.mcvts.net</t>
  </si>
  <si>
    <t>Milltown School District</t>
  </si>
  <si>
    <t>sbrown@milltownps.org</t>
  </si>
  <si>
    <t>21 West Church Street</t>
  </si>
  <si>
    <t>Milltown</t>
  </si>
  <si>
    <t>08850-1643</t>
  </si>
  <si>
    <t>732-214-2365 x1</t>
  </si>
  <si>
    <t>Norma</t>
  </si>
  <si>
    <t>Tursi</t>
  </si>
  <si>
    <t>McGowan</t>
  </si>
  <si>
    <t>Jaclyn</t>
  </si>
  <si>
    <t>Citro</t>
  </si>
  <si>
    <t>www.milltownps.org</t>
  </si>
  <si>
    <t>Monroe Township School District</t>
  </si>
  <si>
    <t>Dori</t>
  </si>
  <si>
    <t>Alvich</t>
  </si>
  <si>
    <t>dori.alvich@monroe.k12.nj.us</t>
  </si>
  <si>
    <t>423 BUCKELEW AVENUE</t>
  </si>
  <si>
    <t>MONROE TOWNSHIP</t>
  </si>
  <si>
    <t>732-521-1500</t>
  </si>
  <si>
    <t>Gorski</t>
  </si>
  <si>
    <t>Marietta</t>
  </si>
  <si>
    <t>Ruela</t>
  </si>
  <si>
    <t>McConnell</t>
  </si>
  <si>
    <t>LAURIE</t>
  </si>
  <si>
    <t>MCCONNELL</t>
  </si>
  <si>
    <t>REGINALD</t>
  </si>
  <si>
    <t>WASHINGTON</t>
  </si>
  <si>
    <t>Piro</t>
  </si>
  <si>
    <t>WWW.MONROE.K12.NJ.US</t>
  </si>
  <si>
    <t>New Brunswick School District</t>
  </si>
  <si>
    <t>Aubrey</t>
  </si>
  <si>
    <t>aubrey_johnson@nbpsnj.net</t>
  </si>
  <si>
    <t>268 Baldwin Street</t>
  </si>
  <si>
    <t>732-745-5300 x 5414</t>
  </si>
  <si>
    <t>Jannarone</t>
  </si>
  <si>
    <t>Keira</t>
  </si>
  <si>
    <t>Scussa</t>
  </si>
  <si>
    <t>Pellington</t>
  </si>
  <si>
    <t>Levine</t>
  </si>
  <si>
    <t>Soulias</t>
  </si>
  <si>
    <t>www.nbpschools.net/</t>
  </si>
  <si>
    <t>North Brunswick Township School District</t>
  </si>
  <si>
    <t>Zychowski</t>
  </si>
  <si>
    <t>bzychowski@nbtschools.org</t>
  </si>
  <si>
    <t>308 Old Georges Rd</t>
  </si>
  <si>
    <t xml:space="preserve">Maple Meade Administration Building </t>
  </si>
  <si>
    <t>North Brunswick</t>
  </si>
  <si>
    <t>PO Box 6016</t>
  </si>
  <si>
    <t>Maple Meade Administration Building</t>
  </si>
  <si>
    <t>732-289-3030</t>
  </si>
  <si>
    <t>Harry</t>
  </si>
  <si>
    <t>Petela</t>
  </si>
  <si>
    <t>Rumbo</t>
  </si>
  <si>
    <t>Misurell</t>
  </si>
  <si>
    <t>www.nbtschools.org</t>
  </si>
  <si>
    <t>Old Bridge Township School District</t>
  </si>
  <si>
    <t>Cittadino</t>
  </si>
  <si>
    <t>dcittadino@obps.org</t>
  </si>
  <si>
    <t>4207 Route 516</t>
  </si>
  <si>
    <t xml:space="preserve">Patrick A. Torre Admin. Bld. </t>
  </si>
  <si>
    <t>Matawan</t>
  </si>
  <si>
    <t>Patrick A. Torre Admin. Bld.</t>
  </si>
  <si>
    <t>732-290-3976</t>
  </si>
  <si>
    <t>Marra</t>
  </si>
  <si>
    <t>Tuohy</t>
  </si>
  <si>
    <t>Katelyn</t>
  </si>
  <si>
    <t>Tivald</t>
  </si>
  <si>
    <t>Caulfied</t>
  </si>
  <si>
    <t>www.oldbridgeadmin.org</t>
  </si>
  <si>
    <t>Perth Amboy Public School District</t>
  </si>
  <si>
    <t>Roman</t>
  </si>
  <si>
    <t>droman@paps.net</t>
  </si>
  <si>
    <t>178 Barracks Street</t>
  </si>
  <si>
    <t>732-376-6201</t>
  </si>
  <si>
    <t>Derek</t>
  </si>
  <si>
    <t>Jess</t>
  </si>
  <si>
    <t>Neu</t>
  </si>
  <si>
    <t>McAdam</t>
  </si>
  <si>
    <t>Tibor</t>
  </si>
  <si>
    <t>Kasco</t>
  </si>
  <si>
    <t>www.paps.net</t>
  </si>
  <si>
    <t>Piscataway Township School District</t>
  </si>
  <si>
    <t>Ranelli</t>
  </si>
  <si>
    <t>franelli@pway.org</t>
  </si>
  <si>
    <t>1515 Stelton Rd</t>
  </si>
  <si>
    <t>732-572-2289 x2513</t>
  </si>
  <si>
    <t>Oliveira</t>
  </si>
  <si>
    <t>Baskerville</t>
  </si>
  <si>
    <t>Bartruff</t>
  </si>
  <si>
    <t>Pongratz</t>
  </si>
  <si>
    <t>www.piscatawayschools.org</t>
  </si>
  <si>
    <t>Sayreville School District</t>
  </si>
  <si>
    <t>Labbe</t>
  </si>
  <si>
    <t>richard.labbe@sayrevillek12.net</t>
  </si>
  <si>
    <t>150 Lincoln St.</t>
  </si>
  <si>
    <t>South Amboy</t>
  </si>
  <si>
    <t>P.O. Box 997</t>
  </si>
  <si>
    <t>Sayreville</t>
  </si>
  <si>
    <t>732-525-5203</t>
  </si>
  <si>
    <t>Knaster</t>
  </si>
  <si>
    <t>Glock-Molloy</t>
  </si>
  <si>
    <t>Sicola</t>
  </si>
  <si>
    <t>Waranowicz</t>
  </si>
  <si>
    <t>Sprague</t>
  </si>
  <si>
    <t>www.sayrevillek12.net</t>
  </si>
  <si>
    <t>South Amboy School District</t>
  </si>
  <si>
    <t>Jorge</t>
  </si>
  <si>
    <t>jdiaz@sapublicschools.com</t>
  </si>
  <si>
    <t>240 John Street</t>
  </si>
  <si>
    <t>08879-1794</t>
  </si>
  <si>
    <t>732-525-2100 x1226</t>
  </si>
  <si>
    <t>Frascella</t>
  </si>
  <si>
    <t>Gurczeski</t>
  </si>
  <si>
    <t>Zalocki</t>
  </si>
  <si>
    <t>Elson</t>
  </si>
  <si>
    <t>www.sapublicschools.com</t>
  </si>
  <si>
    <t>South Brunswick School District</t>
  </si>
  <si>
    <t>Feder</t>
  </si>
  <si>
    <t>Scott.Feder@sbschools.org</t>
  </si>
  <si>
    <t>231 Black Horse Lane</t>
  </si>
  <si>
    <t>P.O. Box 181</t>
  </si>
  <si>
    <t>Monmouth Junction</t>
  </si>
  <si>
    <t>732-297-7800 x5104</t>
  </si>
  <si>
    <t>Pawlowski</t>
  </si>
  <si>
    <t>Raphael</t>
  </si>
  <si>
    <t>Eiseman</t>
  </si>
  <si>
    <t>Diszler</t>
  </si>
  <si>
    <t>Amiet</t>
  </si>
  <si>
    <t>www.sbschools.org</t>
  </si>
  <si>
    <t>South Plainfield School District</t>
  </si>
  <si>
    <t>Noreen</t>
  </si>
  <si>
    <t>Lishak</t>
  </si>
  <si>
    <t>nlishak@spboe.org</t>
  </si>
  <si>
    <t>125 Jackson Avenue</t>
  </si>
  <si>
    <t>South Plainfield</t>
  </si>
  <si>
    <t>908-754-4620 x 8226</t>
  </si>
  <si>
    <t>Alex</t>
  </si>
  <si>
    <t>Benanti</t>
  </si>
  <si>
    <t>Malyska</t>
  </si>
  <si>
    <t>www.spboe.org</t>
  </si>
  <si>
    <t>South River Public School District</t>
  </si>
  <si>
    <t>Sylvia</t>
  </si>
  <si>
    <t>Zircher</t>
  </si>
  <si>
    <t>szircher@srivernj.org</t>
  </si>
  <si>
    <t>15 Montgomery Street</t>
  </si>
  <si>
    <t>South River</t>
  </si>
  <si>
    <t>732-613-4000 x6</t>
  </si>
  <si>
    <t>Kokoszka</t>
  </si>
  <si>
    <t>Urrutia</t>
  </si>
  <si>
    <t>Kamila</t>
  </si>
  <si>
    <t>Miazio</t>
  </si>
  <si>
    <t>Carl</t>
  </si>
  <si>
    <t>Buffalino</t>
  </si>
  <si>
    <t>www.srivernj.org</t>
  </si>
  <si>
    <t>Spotswood Public School District</t>
  </si>
  <si>
    <t>Peabody</t>
  </si>
  <si>
    <t>gpeabody@spsd.us</t>
  </si>
  <si>
    <t>105 Summerhill Road</t>
  </si>
  <si>
    <t>Spotswood</t>
  </si>
  <si>
    <t>732-723-2200</t>
  </si>
  <si>
    <t>Vita</t>
  </si>
  <si>
    <t>DeLollis</t>
  </si>
  <si>
    <t>Asprocolas</t>
  </si>
  <si>
    <t>Buchanan</t>
  </si>
  <si>
    <t>www.spsd.us</t>
  </si>
  <si>
    <t>Woodbridge Township School District</t>
  </si>
  <si>
    <t>Zega</t>
  </si>
  <si>
    <t>robert.zega@woodbridge.k12.nj.us</t>
  </si>
  <si>
    <t>421 SCHOOL STREET</t>
  </si>
  <si>
    <t xml:space="preserve">P.O. BOX 428 </t>
  </si>
  <si>
    <t>WOODBRIDGE</t>
  </si>
  <si>
    <t>PO Box 428 School Street</t>
  </si>
  <si>
    <t>732-602-8472</t>
  </si>
  <si>
    <t>Wolferman</t>
  </si>
  <si>
    <t>Bair</t>
  </si>
  <si>
    <t>Soccodato</t>
  </si>
  <si>
    <t>DeRollo</t>
  </si>
  <si>
    <t>Callahan</t>
  </si>
  <si>
    <t>Massimino</t>
  </si>
  <si>
    <t>http://www.woodbridge.k12.nj.us/district.html</t>
  </si>
  <si>
    <t>MONMOUTH</t>
  </si>
  <si>
    <t>Academy Charter High School</t>
  </si>
  <si>
    <t>Heeter</t>
  </si>
  <si>
    <t>leadperson@academycharterhs.org</t>
  </si>
  <si>
    <t>1725 Main Street</t>
  </si>
  <si>
    <t>Lake Como</t>
  </si>
  <si>
    <t>732-681-8377</t>
  </si>
  <si>
    <t>Lorissa</t>
  </si>
  <si>
    <t>www.academycharterhs.org</t>
  </si>
  <si>
    <t>Allenhurst School District</t>
  </si>
  <si>
    <t>125 Corlies Ave</t>
  </si>
  <si>
    <t>Allenhurst</t>
  </si>
  <si>
    <t>PETER</t>
  </si>
  <si>
    <t>GENOVESE III</t>
  </si>
  <si>
    <t>www.allenhurstnj.org</t>
  </si>
  <si>
    <t>Asbury Park School District</t>
  </si>
  <si>
    <t>Sancha</t>
  </si>
  <si>
    <t>grays@asburypark.k12.nj.us</t>
  </si>
  <si>
    <t>910 4th Ave</t>
  </si>
  <si>
    <t>Asbury Park</t>
  </si>
  <si>
    <t>732 776-2606 x2416</t>
  </si>
  <si>
    <t>Hastings</t>
  </si>
  <si>
    <t>Clement</t>
  </si>
  <si>
    <t>Kristie</t>
  </si>
  <si>
    <t>www.asburypark.k12.nj.us</t>
  </si>
  <si>
    <t>Atlantic Highlands School District</t>
  </si>
  <si>
    <t>Compton</t>
  </si>
  <si>
    <t>scompton@ahes.k12.nj.us</t>
  </si>
  <si>
    <t>140 First Avenue</t>
  </si>
  <si>
    <t>Atlantic Highlands</t>
  </si>
  <si>
    <t>732-291-2020</t>
  </si>
  <si>
    <t>Sherlock</t>
  </si>
  <si>
    <t>Angona</t>
  </si>
  <si>
    <t>Skibinski</t>
  </si>
  <si>
    <t>www.ahes.k12.nj.us</t>
  </si>
  <si>
    <t>Avon Boro School District</t>
  </si>
  <si>
    <t>CHRISTOPHER</t>
  </si>
  <si>
    <t>ALBRIZIO</t>
  </si>
  <si>
    <t>CALBRIZIO@AVONSCHOOL.COM</t>
  </si>
  <si>
    <t>505 LINCOLN AVE</t>
  </si>
  <si>
    <t>AVON</t>
  </si>
  <si>
    <t>732-775-4328</t>
  </si>
  <si>
    <t>EILEEN</t>
  </si>
  <si>
    <t>MacDonald</t>
  </si>
  <si>
    <t>Albrizio</t>
  </si>
  <si>
    <t>WWW.AVONSCHOOL.COM</t>
  </si>
  <si>
    <t>Bayshore Jointure Commission School District</t>
  </si>
  <si>
    <t>Beams</t>
  </si>
  <si>
    <t>tbeams@moesc.org</t>
  </si>
  <si>
    <t>100 Tornillo Way</t>
  </si>
  <si>
    <t>Tinton Falls</t>
  </si>
  <si>
    <t>732-695-7822</t>
  </si>
  <si>
    <t>Mullins</t>
  </si>
  <si>
    <t>Bettyann</t>
  </si>
  <si>
    <t>Monteleone</t>
  </si>
  <si>
    <t>Samarel</t>
  </si>
  <si>
    <t>www.theshorecenter.org</t>
  </si>
  <si>
    <t>Belmar Elementary School District</t>
  </si>
  <si>
    <t>Hallman</t>
  </si>
  <si>
    <t>hallman@belmar.k12.nj.us</t>
  </si>
  <si>
    <t>1101 Main St</t>
  </si>
  <si>
    <t>Belmar</t>
  </si>
  <si>
    <t>732-681-2388</t>
  </si>
  <si>
    <t>Bardsley</t>
  </si>
  <si>
    <t>Vasile</t>
  </si>
  <si>
    <t>Wilton</t>
  </si>
  <si>
    <t>www.belmar.k12.nj.us</t>
  </si>
  <si>
    <t>Bradley Beach School District</t>
  </si>
  <si>
    <t>Wisniewski</t>
  </si>
  <si>
    <t>swisniewski@bbesnj.org</t>
  </si>
  <si>
    <t>515 Brinley Avenue</t>
  </si>
  <si>
    <t>Bradley Beach</t>
  </si>
  <si>
    <t>07720-1311</t>
  </si>
  <si>
    <t>732-775-4413 x 116</t>
  </si>
  <si>
    <t>Tonzola</t>
  </si>
  <si>
    <t>Zylinski</t>
  </si>
  <si>
    <t>Legere</t>
  </si>
  <si>
    <t>www.bbesnj.org</t>
  </si>
  <si>
    <t>Brielle Boro School District</t>
  </si>
  <si>
    <t>Carlson</t>
  </si>
  <si>
    <t>ccarlson@brielleschool.org</t>
  </si>
  <si>
    <t>605 UNION LANE</t>
  </si>
  <si>
    <t>BRIELLE</t>
  </si>
  <si>
    <t>732-528-6400 X200</t>
  </si>
  <si>
    <t>Sabia</t>
  </si>
  <si>
    <t>O'Reilly</t>
  </si>
  <si>
    <t>www.brielleschool.org</t>
  </si>
  <si>
    <t>College Achieve Greater Asbury Park Charter School</t>
  </si>
  <si>
    <t>McInerney</t>
  </si>
  <si>
    <t>jmcinerney@collegeachieve.org</t>
  </si>
  <si>
    <t>3455 W. Bangs Avenue</t>
  </si>
  <si>
    <t>Neptune</t>
  </si>
  <si>
    <t>732-890-7338</t>
  </si>
  <si>
    <t>Desiree</t>
  </si>
  <si>
    <t>Hancock</t>
  </si>
  <si>
    <t>Crawford</t>
  </si>
  <si>
    <t>Yves</t>
  </si>
  <si>
    <t>Duverne</t>
  </si>
  <si>
    <t>www.collegeachieveasbury.org</t>
  </si>
  <si>
    <t>Colts Neck Township School District</t>
  </si>
  <si>
    <t>MaryJane</t>
  </si>
  <si>
    <t>Garibay</t>
  </si>
  <si>
    <t>garibay@coltsneckschools.org</t>
  </si>
  <si>
    <t>70 Conover Road</t>
  </si>
  <si>
    <t>Colts Neck</t>
  </si>
  <si>
    <t>732-946-0055 x4104</t>
  </si>
  <si>
    <t>Marasco</t>
  </si>
  <si>
    <t>Beck</t>
  </si>
  <si>
    <t>Reynolds</t>
  </si>
  <si>
    <t>Capasso III</t>
  </si>
  <si>
    <t>Osmond</t>
  </si>
  <si>
    <t>www.coltsneckschools.org</t>
  </si>
  <si>
    <t>Deal Boro School District</t>
  </si>
  <si>
    <t>Donato</t>
  </si>
  <si>
    <t>Saponaro</t>
  </si>
  <si>
    <t>dsaponaro@dealschool.org</t>
  </si>
  <si>
    <t>201 Roseld Ave</t>
  </si>
  <si>
    <t>Deal</t>
  </si>
  <si>
    <t>732-531-0480 x 110</t>
  </si>
  <si>
    <t>Pia</t>
  </si>
  <si>
    <t>Lordi</t>
  </si>
  <si>
    <t>www.dealschool.org</t>
  </si>
  <si>
    <t>Eatontown Public School District</t>
  </si>
  <si>
    <t>McCue</t>
  </si>
  <si>
    <t>smccue@eatontown.org</t>
  </si>
  <si>
    <t>5 Grant Avenue</t>
  </si>
  <si>
    <t>Eatontown</t>
  </si>
  <si>
    <t>732-935-3323</t>
  </si>
  <si>
    <t>Youngclaus</t>
  </si>
  <si>
    <t>Nappi</t>
  </si>
  <si>
    <t>Micciulla</t>
  </si>
  <si>
    <t>Iozzi</t>
  </si>
  <si>
    <t>www.eatontown.org</t>
  </si>
  <si>
    <t>Fair Haven School District</t>
  </si>
  <si>
    <t>McNeil</t>
  </si>
  <si>
    <t>mcneils@fairhaven.edu</t>
  </si>
  <si>
    <t>224 Hance Road</t>
  </si>
  <si>
    <t xml:space="preserve">Fair Haven </t>
  </si>
  <si>
    <t>Fair Haven</t>
  </si>
  <si>
    <t>732-747-2294</t>
  </si>
  <si>
    <t>Joye</t>
  </si>
  <si>
    <t>Laufer</t>
  </si>
  <si>
    <t>Elgrim</t>
  </si>
  <si>
    <t>www.fairhaven.edu</t>
  </si>
  <si>
    <t>Farmingdale Public School District</t>
  </si>
  <si>
    <t>Edith</t>
  </si>
  <si>
    <t>Conroy</t>
  </si>
  <si>
    <t>edith.conroy@farmingdaleschool.com</t>
  </si>
  <si>
    <t>49 Academy Street</t>
  </si>
  <si>
    <t>Farmingdale</t>
  </si>
  <si>
    <t>732-938-9611</t>
  </si>
  <si>
    <t>Christiana</t>
  </si>
  <si>
    <t>Moskal</t>
  </si>
  <si>
    <t>Hope</t>
  </si>
  <si>
    <t>Ruetiman</t>
  </si>
  <si>
    <t>Kristeena</t>
  </si>
  <si>
    <t>Vitale</t>
  </si>
  <si>
    <t>farmingdaleschool.com</t>
  </si>
  <si>
    <t>Freehold Borough School District</t>
  </si>
  <si>
    <t>Tomazic</t>
  </si>
  <si>
    <t>rtomazic@freeholdboro.k12.nj.us</t>
  </si>
  <si>
    <t>280 Park Avenue</t>
  </si>
  <si>
    <t>Freehold</t>
  </si>
  <si>
    <t>07728-2006</t>
  </si>
  <si>
    <t>732-761-2100</t>
  </si>
  <si>
    <t>Howe</t>
  </si>
  <si>
    <t>O Shea</t>
  </si>
  <si>
    <t>Brovak</t>
  </si>
  <si>
    <t>www.freeholdboro.k12.nj.us</t>
  </si>
  <si>
    <t>Freehold Regional High School District</t>
  </si>
  <si>
    <t>csampson@frhsd.com</t>
  </si>
  <si>
    <t>11 Pine Street</t>
  </si>
  <si>
    <t xml:space="preserve">Administration Building </t>
  </si>
  <si>
    <t>Englishtown</t>
  </si>
  <si>
    <t>07726-1513</t>
  </si>
  <si>
    <t>Administration Building</t>
  </si>
  <si>
    <t>732-792-7300 x8538</t>
  </si>
  <si>
    <t>Boyce</t>
  </si>
  <si>
    <t>Howland</t>
  </si>
  <si>
    <t>Dillon</t>
  </si>
  <si>
    <t>Henecker</t>
  </si>
  <si>
    <t>Markese</t>
  </si>
  <si>
    <t>www.frhsd.com</t>
  </si>
  <si>
    <t>Freehold Township School District</t>
  </si>
  <si>
    <t>Neal</t>
  </si>
  <si>
    <t>Dickstein</t>
  </si>
  <si>
    <t>ndickstein@freeholdtwp.k12.nj.us</t>
  </si>
  <si>
    <t>384 West Main Street</t>
  </si>
  <si>
    <t>732-462-8400 x8807</t>
  </si>
  <si>
    <t>Robyn</t>
  </si>
  <si>
    <t>Klim</t>
  </si>
  <si>
    <t>Brethauer</t>
  </si>
  <si>
    <t>Nesci</t>
  </si>
  <si>
    <t>www.freeholdtwp.k12.nj.us</t>
  </si>
  <si>
    <t>Hazlet Township Public School District</t>
  </si>
  <si>
    <t>Ridley</t>
  </si>
  <si>
    <t>sridley@hazlet.org</t>
  </si>
  <si>
    <t>421 Middle Road</t>
  </si>
  <si>
    <t>Hazlet</t>
  </si>
  <si>
    <t>732-264-8401 x1101</t>
  </si>
  <si>
    <t>Hafner</t>
  </si>
  <si>
    <t>Ciccarone</t>
  </si>
  <si>
    <t>Schwarz</t>
  </si>
  <si>
    <t>Annibale</t>
  </si>
  <si>
    <t>www.hazlet.org</t>
  </si>
  <si>
    <t>Henry Hudson Regional School District</t>
  </si>
  <si>
    <t>scompton@henryhudsonreg.k12.nj.us</t>
  </si>
  <si>
    <t>1 Grand Tour</t>
  </si>
  <si>
    <t>Highlands</t>
  </si>
  <si>
    <t>732-872-0900 x2001</t>
  </si>
  <si>
    <t>Lenore</t>
  </si>
  <si>
    <t>Kingsmore</t>
  </si>
  <si>
    <t>www.henryhudsonreg.k12.nj.us</t>
  </si>
  <si>
    <t>Highlands Borough School District</t>
  </si>
  <si>
    <t>SCompton@hesk6.us</t>
  </si>
  <si>
    <t>360 Navesink Ave</t>
  </si>
  <si>
    <t>07732-1323</t>
  </si>
  <si>
    <t>732-872-1476 x11</t>
  </si>
  <si>
    <t>Layton</t>
  </si>
  <si>
    <t>www.HighlandsElementary.org</t>
  </si>
  <si>
    <t>Holmdel Township School District</t>
  </si>
  <si>
    <t>LeRoy</t>
  </si>
  <si>
    <t>Seitz</t>
  </si>
  <si>
    <t>lseitz@holmdelschools.org</t>
  </si>
  <si>
    <t>65 McCampbell Road</t>
  </si>
  <si>
    <t>Holmdel</t>
  </si>
  <si>
    <t>732-946-1800 x6022</t>
  </si>
  <si>
    <t>Petrizzo</t>
  </si>
  <si>
    <t>Meryl</t>
  </si>
  <si>
    <t>Gill</t>
  </si>
  <si>
    <t>Alicia</t>
  </si>
  <si>
    <t>Farese</t>
  </si>
  <si>
    <t>TBD</t>
  </si>
  <si>
    <t>Gattini</t>
  </si>
  <si>
    <t>Stromsland</t>
  </si>
  <si>
    <t>http://www.holmdelschools.org</t>
  </si>
  <si>
    <t>Hope Academy Charter School</t>
  </si>
  <si>
    <t>DaVisha</t>
  </si>
  <si>
    <t>Pratt</t>
  </si>
  <si>
    <t>dpratt@hopeacademycs.org</t>
  </si>
  <si>
    <t>601 Grand Avenue</t>
  </si>
  <si>
    <t>07712-6656</t>
  </si>
  <si>
    <t>732-988-4227 x513</t>
  </si>
  <si>
    <t>Fossnes</t>
  </si>
  <si>
    <t>Dallas</t>
  </si>
  <si>
    <t>Zink</t>
  </si>
  <si>
    <t>Karthik</t>
  </si>
  <si>
    <t>Chinnasamy</t>
  </si>
  <si>
    <t>www.hopeacademycs.org</t>
  </si>
  <si>
    <t>Howell Township Public School District</t>
  </si>
  <si>
    <t>Isola</t>
  </si>
  <si>
    <t>jisola@howell.k12.nj.us</t>
  </si>
  <si>
    <t>4567 US Route 9</t>
  </si>
  <si>
    <t xml:space="preserve">Suite D </t>
  </si>
  <si>
    <t>Howell Twp</t>
  </si>
  <si>
    <t>PO BOX 579</t>
  </si>
  <si>
    <t>HOWELL</t>
  </si>
  <si>
    <t>732-751-2480 x3828</t>
  </si>
  <si>
    <t>Sanasac</t>
  </si>
  <si>
    <t>Dorothea</t>
  </si>
  <si>
    <t>Fernandez</t>
  </si>
  <si>
    <t>Jeanna</t>
  </si>
  <si>
    <t>Corrigan-Ribon</t>
  </si>
  <si>
    <t>Aquino</t>
  </si>
  <si>
    <t>https://www.howell.k12.nj.us/</t>
  </si>
  <si>
    <t>Interlaken School District</t>
  </si>
  <si>
    <t>100 Grassmere Avenue</t>
  </si>
  <si>
    <t>Interlaken</t>
  </si>
  <si>
    <t>132 Monmouth Park Highway</t>
  </si>
  <si>
    <t>c/o SRHS</t>
  </si>
  <si>
    <t>West Long Branch</t>
  </si>
  <si>
    <t>Corey</t>
  </si>
  <si>
    <t>Lowell</t>
  </si>
  <si>
    <t>www.interlakenboro.com</t>
  </si>
  <si>
    <t>Keansburg School District</t>
  </si>
  <si>
    <t>O'Hare</t>
  </si>
  <si>
    <t>kohare@keansburg.k12.nj.us</t>
  </si>
  <si>
    <t>100 Palmer Place</t>
  </si>
  <si>
    <t>Keansburg</t>
  </si>
  <si>
    <t>732-787-2007 x23500</t>
  </si>
  <si>
    <t>Cindy</t>
  </si>
  <si>
    <t>Barr-Rague</t>
  </si>
  <si>
    <t>Herits</t>
  </si>
  <si>
    <t>Formica</t>
  </si>
  <si>
    <t>Hoff</t>
  </si>
  <si>
    <t>www.keansburg.k12.nj.us</t>
  </si>
  <si>
    <t>Keyport School District</t>
  </si>
  <si>
    <t>Savoia</t>
  </si>
  <si>
    <t>lsavoia@kpsdschools.org</t>
  </si>
  <si>
    <t>370 Broad Street</t>
  </si>
  <si>
    <t>Keyport</t>
  </si>
  <si>
    <t>732-212-6100 x1000</t>
  </si>
  <si>
    <t>Rapolla</t>
  </si>
  <si>
    <t>Mammano</t>
  </si>
  <si>
    <t>Palumbo</t>
  </si>
  <si>
    <t>Sussino</t>
  </si>
  <si>
    <t>Pablo</t>
  </si>
  <si>
    <t>Guevara</t>
  </si>
  <si>
    <t>Dylan</t>
  </si>
  <si>
    <t>Borders</t>
  </si>
  <si>
    <t>www.kpsdschools.org</t>
  </si>
  <si>
    <t>Lake Como School District</t>
  </si>
  <si>
    <t>732-681-8888 x1025</t>
  </si>
  <si>
    <t>NA</t>
  </si>
  <si>
    <t>N A</t>
  </si>
  <si>
    <t>www.belmar.k12.nj.us/domain/113</t>
  </si>
  <si>
    <t>Little Silver Boro School District</t>
  </si>
  <si>
    <t>Ettore</t>
  </si>
  <si>
    <t>mettore@littlesilverschools.org</t>
  </si>
  <si>
    <t>124 WILLOW DRIVE</t>
  </si>
  <si>
    <t>LITTLE SILVER</t>
  </si>
  <si>
    <t>732-741-2188</t>
  </si>
  <si>
    <t>Lindsey</t>
  </si>
  <si>
    <t>Case</t>
  </si>
  <si>
    <t>Lazzari</t>
  </si>
  <si>
    <t>Platt</t>
  </si>
  <si>
    <t>Rosen</t>
  </si>
  <si>
    <t>Gaestel</t>
  </si>
  <si>
    <t>Albert-Devine</t>
  </si>
  <si>
    <t>WWW.LITTLESILVERSCHOOLS.ORG</t>
  </si>
  <si>
    <t>Loch Arbour School District</t>
  </si>
  <si>
    <t>non op</t>
  </si>
  <si>
    <t>locharboursba@gmail.com</t>
  </si>
  <si>
    <t>550 Main St.</t>
  </si>
  <si>
    <t>Loch Arbour</t>
  </si>
  <si>
    <t>www.locharbournj.us/</t>
  </si>
  <si>
    <t>LONG BRANCH PUBLIC SCHOOL District</t>
  </si>
  <si>
    <t>Francisco</t>
  </si>
  <si>
    <t>frodriguez@longbranch.k12.nj.us</t>
  </si>
  <si>
    <t>540 BROADWAY</t>
  </si>
  <si>
    <t>LONG BRANCH</t>
  </si>
  <si>
    <t>732-571-2868 X 40010</t>
  </si>
  <si>
    <t>Genovese</t>
  </si>
  <si>
    <t>JanetLynn</t>
  </si>
  <si>
    <t>Dudick</t>
  </si>
  <si>
    <t>Marissa</t>
  </si>
  <si>
    <t>Fornicola</t>
  </si>
  <si>
    <t>Roberta</t>
  </si>
  <si>
    <t>Freeman</t>
  </si>
  <si>
    <t>Dringus</t>
  </si>
  <si>
    <t>www.longbranch.k12.nj.us</t>
  </si>
  <si>
    <t>Manalapan-Englishtown Regional Schools School District</t>
  </si>
  <si>
    <t>Marciante Jr PhD</t>
  </si>
  <si>
    <t>jmarciante@mersnj.us</t>
  </si>
  <si>
    <t>54 Main Street</t>
  </si>
  <si>
    <t>732-786-2534</t>
  </si>
  <si>
    <t>Wolf</t>
  </si>
  <si>
    <t>Georgianna</t>
  </si>
  <si>
    <t>Petillo</t>
  </si>
  <si>
    <t>Cimino</t>
  </si>
  <si>
    <t>Santora</t>
  </si>
  <si>
    <t>Vaccarino</t>
  </si>
  <si>
    <t>Oppegaard</t>
  </si>
  <si>
    <t>https://www.mersnj.us/</t>
  </si>
  <si>
    <t>Manasquan School District</t>
  </si>
  <si>
    <t>Kasyan</t>
  </si>
  <si>
    <t>fkasyan@manasquanboe.org</t>
  </si>
  <si>
    <t>169 Broad Street</t>
  </si>
  <si>
    <t>Manasquan</t>
  </si>
  <si>
    <t>732-528-8800</t>
  </si>
  <si>
    <t>Crawley</t>
  </si>
  <si>
    <t>Polak</t>
  </si>
  <si>
    <t>Lesley</t>
  </si>
  <si>
    <t>Kenney</t>
  </si>
  <si>
    <t>Place</t>
  </si>
  <si>
    <t>www.manasquanschools.org</t>
  </si>
  <si>
    <t>Marlboro Township School District</t>
  </si>
  <si>
    <t>Hibbs</t>
  </si>
  <si>
    <t>ehibbs@mtps.org</t>
  </si>
  <si>
    <t>1980 Township Drive</t>
  </si>
  <si>
    <t>Marlboro</t>
  </si>
  <si>
    <t>732-972-2000 x2015</t>
  </si>
  <si>
    <t>Caravello</t>
  </si>
  <si>
    <t>Tardio</t>
  </si>
  <si>
    <t>Ballone</t>
  </si>
  <si>
    <t>Enny</t>
  </si>
  <si>
    <t>www.mtps.org</t>
  </si>
  <si>
    <t>Matawan-Aberdeen Regional School District</t>
  </si>
  <si>
    <t>Majka</t>
  </si>
  <si>
    <t>jmajka@marsd.org</t>
  </si>
  <si>
    <t>1 Crest Way</t>
  </si>
  <si>
    <t>Aberdeen</t>
  </si>
  <si>
    <t>732-705-4050</t>
  </si>
  <si>
    <t>Venanzi</t>
  </si>
  <si>
    <t>Nelyda</t>
  </si>
  <si>
    <t>Liebmann</t>
  </si>
  <si>
    <t>Bombardier</t>
  </si>
  <si>
    <t>Dugal</t>
  </si>
  <si>
    <t>http://www.marsd.org</t>
  </si>
  <si>
    <t>Middletown Township Public School District</t>
  </si>
  <si>
    <t>walkerm@middletownk12.org</t>
  </si>
  <si>
    <t>834 Leonardville Road</t>
  </si>
  <si>
    <t xml:space="preserve">2nd floor </t>
  </si>
  <si>
    <t>Leonardo</t>
  </si>
  <si>
    <t>PO Box 4170</t>
  </si>
  <si>
    <t>Middletown</t>
  </si>
  <si>
    <t>732-671-3850 x1002</t>
  </si>
  <si>
    <t>Doherty</t>
  </si>
  <si>
    <t>Tiedemann</t>
  </si>
  <si>
    <t>Kirkpatrick</t>
  </si>
  <si>
    <t>Marjorie</t>
  </si>
  <si>
    <t>Caruso</t>
  </si>
  <si>
    <t>Siwiak</t>
  </si>
  <si>
    <t>Maguire</t>
  </si>
  <si>
    <t>www.middletownk12.org</t>
  </si>
  <si>
    <t>Millstone Township School District</t>
  </si>
  <si>
    <t>Huss</t>
  </si>
  <si>
    <t>chuss@millstone.k12.nj.us</t>
  </si>
  <si>
    <t>5 Dawson Court</t>
  </si>
  <si>
    <t>Millstone Township</t>
  </si>
  <si>
    <t>08535-8118</t>
  </si>
  <si>
    <t>732-786-0950</t>
  </si>
  <si>
    <t>Biesiada</t>
  </si>
  <si>
    <t>Hall</t>
  </si>
  <si>
    <t>Hobson</t>
  </si>
  <si>
    <t>Tuccillo</t>
  </si>
  <si>
    <t>www.millstone.k12.nj.us</t>
  </si>
  <si>
    <t>Monmouth Beach School District</t>
  </si>
  <si>
    <t>Alfone</t>
  </si>
  <si>
    <t>alfone@mbschool.org</t>
  </si>
  <si>
    <t>7 Hastings Place</t>
  </si>
  <si>
    <t>Monmouth Beach</t>
  </si>
  <si>
    <t>732-222-6139 x250</t>
  </si>
  <si>
    <t>WWW.MBSCHOOL.ORG</t>
  </si>
  <si>
    <t>Monmouth County Vocational School District</t>
  </si>
  <si>
    <t>cford@ctemc.org</t>
  </si>
  <si>
    <t>4000 Kozloski Road, P.O. Box 5033</t>
  </si>
  <si>
    <t>07728-5033</t>
  </si>
  <si>
    <t>732-431-7942 x4889</t>
  </si>
  <si>
    <t>Collette</t>
  </si>
  <si>
    <t>Flatt</t>
  </si>
  <si>
    <t>Senerchia</t>
  </si>
  <si>
    <t>Widmer</t>
  </si>
  <si>
    <t>www.mcvsd.org</t>
  </si>
  <si>
    <t>Monmouth Regional High School</t>
  </si>
  <si>
    <t>Teeple</t>
  </si>
  <si>
    <t>ateeple@monmouthregional.net</t>
  </si>
  <si>
    <t>1 Norman J Field Way</t>
  </si>
  <si>
    <t>732-542-1170 x1102</t>
  </si>
  <si>
    <t>Parry</t>
  </si>
  <si>
    <t>McCook</t>
  </si>
  <si>
    <t>Mihalko</t>
  </si>
  <si>
    <t>Ragavas</t>
  </si>
  <si>
    <t>Spampanato</t>
  </si>
  <si>
    <t>www.monmouthregional.net</t>
  </si>
  <si>
    <t>Monmouth-Ocean Educational Services Commission School Distri</t>
  </si>
  <si>
    <t>900 Hope Road</t>
  </si>
  <si>
    <t>Mandeville</t>
  </si>
  <si>
    <t>Giuliano</t>
  </si>
  <si>
    <t>Ventre</t>
  </si>
  <si>
    <t>www.moesc.org</t>
  </si>
  <si>
    <t>Neptune City School District</t>
  </si>
  <si>
    <t>Boccuti</t>
  </si>
  <si>
    <t>rboccuti@neptunecityschool.org</t>
  </si>
  <si>
    <t>210 West Sylvania Ave.</t>
  </si>
  <si>
    <t>Neptune City</t>
  </si>
  <si>
    <t>732-775-5319 x5000</t>
  </si>
  <si>
    <t>Yvonne</t>
  </si>
  <si>
    <t>Hellwig</t>
  </si>
  <si>
    <t>Lonjete</t>
  </si>
  <si>
    <t>Nias</t>
  </si>
  <si>
    <t>WWW.NEPTUNECITYSCHOOL.ORG</t>
  </si>
  <si>
    <t>Neptune Township School District</t>
  </si>
  <si>
    <t>Tami</t>
  </si>
  <si>
    <t>Crader</t>
  </si>
  <si>
    <t>tcrader@neptune.k12.nj.us</t>
  </si>
  <si>
    <t>60 Neptune Blvd</t>
  </si>
  <si>
    <t>Neptune Twp</t>
  </si>
  <si>
    <t>732-776-2200 x7866</t>
  </si>
  <si>
    <t>Skelton</t>
  </si>
  <si>
    <t>Juan Omar</t>
  </si>
  <si>
    <t>Beltran</t>
  </si>
  <si>
    <t>Kolinofsky</t>
  </si>
  <si>
    <t>Smurro</t>
  </si>
  <si>
    <t>www.neptune.k12.nj.us</t>
  </si>
  <si>
    <t>Oceanport School District</t>
  </si>
  <si>
    <t>29 Wolf Hill Avenue</t>
  </si>
  <si>
    <t>Oceanport</t>
  </si>
  <si>
    <t>07757-1625</t>
  </si>
  <si>
    <t>732-542-0683</t>
  </si>
  <si>
    <t>Valery</t>
  </si>
  <si>
    <t>Petrone</t>
  </si>
  <si>
    <t>Malaney</t>
  </si>
  <si>
    <t>Geraldine</t>
  </si>
  <si>
    <t>Larsen</t>
  </si>
  <si>
    <t>Furlong</t>
  </si>
  <si>
    <t>oceanport.k12.nj.us</t>
  </si>
  <si>
    <t>Red Bank Borough Public School District</t>
  </si>
  <si>
    <t>Rumage</t>
  </si>
  <si>
    <t>rumagej@rbb.k12.nj.us</t>
  </si>
  <si>
    <t>76 Branch Avenue</t>
  </si>
  <si>
    <t>Red Bank</t>
  </si>
  <si>
    <t>732-758-1507</t>
  </si>
  <si>
    <t>Gorga</t>
  </si>
  <si>
    <t>Jenny</t>
  </si>
  <si>
    <t>Wyman</t>
  </si>
  <si>
    <t>Luigi</t>
  </si>
  <si>
    <t>Laugelli</t>
  </si>
  <si>
    <t>Christiano</t>
  </si>
  <si>
    <t>www.rbb.k12.nj.us</t>
  </si>
  <si>
    <t>Red Bank Charter School</t>
  </si>
  <si>
    <t>Kristen</t>
  </si>
  <si>
    <t>Martello</t>
  </si>
  <si>
    <t>k.martello@redbankcharterschool.com</t>
  </si>
  <si>
    <t>58 Oakland Street</t>
  </si>
  <si>
    <t>732-450-2092</t>
  </si>
  <si>
    <t>Ida</t>
  </si>
  <si>
    <t>West-Jones</t>
  </si>
  <si>
    <t>www.redbankcharterschool.com</t>
  </si>
  <si>
    <t>Red Bank Regional School District</t>
  </si>
  <si>
    <t>lmoore@rbrhs.org</t>
  </si>
  <si>
    <t>101 Ridge Road</t>
  </si>
  <si>
    <t>Little Silver</t>
  </si>
  <si>
    <t>732-842-8000 x247</t>
  </si>
  <si>
    <t>Pappagallo</t>
  </si>
  <si>
    <t>Pinto</t>
  </si>
  <si>
    <t>Donohoe</t>
  </si>
  <si>
    <t>Verdiglione</t>
  </si>
  <si>
    <t>Alan</t>
  </si>
  <si>
    <t>Choback</t>
  </si>
  <si>
    <t>www.rbrhs.org</t>
  </si>
  <si>
    <t>Roosevelt Borough Public School District</t>
  </si>
  <si>
    <t>mcohen@rps1.org</t>
  </si>
  <si>
    <t>2a School Lane</t>
  </si>
  <si>
    <t>Roosevelt</t>
  </si>
  <si>
    <t>08555-0160</t>
  </si>
  <si>
    <t>PO Box 160</t>
  </si>
  <si>
    <t>609-448-2798</t>
  </si>
  <si>
    <t>Mary Robinson</t>
  </si>
  <si>
    <t>Gershman</t>
  </si>
  <si>
    <t>www.rps1.org</t>
  </si>
  <si>
    <t>Rumson Borough School District</t>
  </si>
  <si>
    <t>Bormann</t>
  </si>
  <si>
    <t>jbormann@rumsonschool.org</t>
  </si>
  <si>
    <t>60 Forrest Avenue</t>
  </si>
  <si>
    <t>Rumson</t>
  </si>
  <si>
    <t>732-842-4747</t>
  </si>
  <si>
    <t>Vera</t>
  </si>
  <si>
    <t>Ridoux</t>
  </si>
  <si>
    <t>Pelissier</t>
  </si>
  <si>
    <t>www.rumsonschool.org</t>
  </si>
  <si>
    <t>Rumson-Fair Haven Regional High School District</t>
  </si>
  <si>
    <t>Gulick</t>
  </si>
  <si>
    <t>dgulick@rumsonfairhaven.org</t>
  </si>
  <si>
    <t>74 Ridge Road</t>
  </si>
  <si>
    <t>732-842-1597 x550</t>
  </si>
  <si>
    <t>Sarles</t>
  </si>
  <si>
    <t>Alworth</t>
  </si>
  <si>
    <t>www.rumsonfairhaven.org</t>
  </si>
  <si>
    <t>Sea Girt Borough School District</t>
  </si>
  <si>
    <t>Papera</t>
  </si>
  <si>
    <t>rpapera@seagirt.k12.nj.us</t>
  </si>
  <si>
    <t>451 Bell Place</t>
  </si>
  <si>
    <t>Sea Girt</t>
  </si>
  <si>
    <t>732-449-3422</t>
  </si>
  <si>
    <t>Friedmann</t>
  </si>
  <si>
    <t>Guibord</t>
  </si>
  <si>
    <t>www.seagirt.k12.nj.us</t>
  </si>
  <si>
    <t>Shore Regional High School District</t>
  </si>
  <si>
    <t>Righi</t>
  </si>
  <si>
    <t>prighi@shoreregional.org</t>
  </si>
  <si>
    <t>132 MONMOUTH PARK HWY 36</t>
  </si>
  <si>
    <t>WEST LONG BRANCH</t>
  </si>
  <si>
    <t>732-222-9300 x2030</t>
  </si>
  <si>
    <t>Jon</t>
  </si>
  <si>
    <t>Warner</t>
  </si>
  <si>
    <t>Bruccoleri</t>
  </si>
  <si>
    <t>www.shoreregional.org</t>
  </si>
  <si>
    <t>Shrewsbury Borough School District</t>
  </si>
  <si>
    <t>Brent</t>
  </si>
  <si>
    <t>MacConnell</t>
  </si>
  <si>
    <t>macconnellb@sbs-nj.org</t>
  </si>
  <si>
    <t>20 Obre Place</t>
  </si>
  <si>
    <t>Shrewsbury</t>
  </si>
  <si>
    <t>732-747-0882 x107</t>
  </si>
  <si>
    <t>Debi</t>
  </si>
  <si>
    <t>Avento</t>
  </si>
  <si>
    <t>Ansell</t>
  </si>
  <si>
    <t>Wakula</t>
  </si>
  <si>
    <t>www.sbs.k12.nj.us/sbs</t>
  </si>
  <si>
    <t>Spring Lake Borough</t>
  </si>
  <si>
    <t>LaValva</t>
  </si>
  <si>
    <t>slavalva@hwmountz.k12.nj.us</t>
  </si>
  <si>
    <t>411 Tuttle Avenue</t>
  </si>
  <si>
    <t>Spring Lake</t>
  </si>
  <si>
    <t>732-449-6380 x411</t>
  </si>
  <si>
    <t>Joanette</t>
  </si>
  <si>
    <t>Femia</t>
  </si>
  <si>
    <t>Lavalva</t>
  </si>
  <si>
    <t>www.hwmountz.k12.nj.us</t>
  </si>
  <si>
    <t>Spring Lake Heights School District</t>
  </si>
  <si>
    <t>Spalthoff</t>
  </si>
  <si>
    <t>jspalthoff@slheights.org</t>
  </si>
  <si>
    <t>1110 Highway 71</t>
  </si>
  <si>
    <t>Spring Lake Heights</t>
  </si>
  <si>
    <t>732-449-6149 x208</t>
  </si>
  <si>
    <t>Varley</t>
  </si>
  <si>
    <t>Jeannine</t>
  </si>
  <si>
    <t>Ricky</t>
  </si>
  <si>
    <t>Popp</t>
  </si>
  <si>
    <t>www.slheights.org</t>
  </si>
  <si>
    <t>Tinton Falls School District</t>
  </si>
  <si>
    <t>Goldey</t>
  </si>
  <si>
    <t>lgoldey@tfschools.org</t>
  </si>
  <si>
    <t>658 Tinton Avenue</t>
  </si>
  <si>
    <t>732-460-2404</t>
  </si>
  <si>
    <t>Kerri Lee</t>
  </si>
  <si>
    <t>Walsifer</t>
  </si>
  <si>
    <t>Vernon</t>
  </si>
  <si>
    <t>Cole</t>
  </si>
  <si>
    <t>Duarte</t>
  </si>
  <si>
    <t>Black</t>
  </si>
  <si>
    <t>www.tfschools.org</t>
  </si>
  <si>
    <t>Township of Ocean School District</t>
  </si>
  <si>
    <t>Stefankiewicz</t>
  </si>
  <si>
    <t>jstefankiewicz@oceanschools.org</t>
  </si>
  <si>
    <t>163 Monmouth Road</t>
  </si>
  <si>
    <t>Oakhurst</t>
  </si>
  <si>
    <t>732-531-5600 x3000</t>
  </si>
  <si>
    <t>Zona</t>
  </si>
  <si>
    <t>Weldon</t>
  </si>
  <si>
    <t>www.oceanschools.org</t>
  </si>
  <si>
    <t>Union Beach Public School District</t>
  </si>
  <si>
    <t>Lewert</t>
  </si>
  <si>
    <t>alewert@unionbeachschools.org</t>
  </si>
  <si>
    <t>1207 Florence Ave</t>
  </si>
  <si>
    <t>Union Beach</t>
  </si>
  <si>
    <t>732-264-5405</t>
  </si>
  <si>
    <t>Alyson</t>
  </si>
  <si>
    <t>Nechamkin</t>
  </si>
  <si>
    <t>Savicky</t>
  </si>
  <si>
    <t>Spaeth</t>
  </si>
  <si>
    <t>www.unionbeachschools.org</t>
  </si>
  <si>
    <t>Upper Freehold Regional School District</t>
  </si>
  <si>
    <t>Guterl</t>
  </si>
  <si>
    <t>GuterlM@ufrsd.net</t>
  </si>
  <si>
    <t>27 High Street</t>
  </si>
  <si>
    <t>Allentown</t>
  </si>
  <si>
    <t>609-259-7292 x3201</t>
  </si>
  <si>
    <t>Pisano</t>
  </si>
  <si>
    <t>Antonucci</t>
  </si>
  <si>
    <t>Myslinski</t>
  </si>
  <si>
    <t>www.ufrsd.net</t>
  </si>
  <si>
    <t>Wall Township Public School District</t>
  </si>
  <si>
    <t>Handerhan</t>
  </si>
  <si>
    <t>thanderhan@wall.k12.nj.us</t>
  </si>
  <si>
    <t>1620 18th Avenue</t>
  </si>
  <si>
    <t xml:space="preserve">Building B </t>
  </si>
  <si>
    <t>Wall</t>
  </si>
  <si>
    <t>Building B</t>
  </si>
  <si>
    <t>732-556-2005</t>
  </si>
  <si>
    <t>Smyth</t>
  </si>
  <si>
    <t>Duffy</t>
  </si>
  <si>
    <t>Rando</t>
  </si>
  <si>
    <t>www.wall.k12.nj.us</t>
  </si>
  <si>
    <t>West Long Branch School District</t>
  </si>
  <si>
    <t>falfano@wlbschools.com</t>
  </si>
  <si>
    <t>135 Locust Avenue</t>
  </si>
  <si>
    <t>732-222-5900 x1304</t>
  </si>
  <si>
    <t>Lolita</t>
  </si>
  <si>
    <t>Yacona</t>
  </si>
  <si>
    <t>Erhardt</t>
  </si>
  <si>
    <t>Marvel</t>
  </si>
  <si>
    <t>www.wlbschools.com</t>
  </si>
  <si>
    <t>MORRIS</t>
  </si>
  <si>
    <t>Boonton Town School District</t>
  </si>
  <si>
    <t>Presuto</t>
  </si>
  <si>
    <t>robert.presuto@boontonschools.org</t>
  </si>
  <si>
    <t>434 Lathrop Avenue</t>
  </si>
  <si>
    <t>Boonton</t>
  </si>
  <si>
    <t>973-335-9700</t>
  </si>
  <si>
    <t>Gardberg</t>
  </si>
  <si>
    <t>Muench</t>
  </si>
  <si>
    <t>Sorochynskyj</t>
  </si>
  <si>
    <t>Toledo</t>
  </si>
  <si>
    <t>www.boontonschools.org</t>
  </si>
  <si>
    <t>Boonton Township School District</t>
  </si>
  <si>
    <t>Angelillo</t>
  </si>
  <si>
    <t>cangelillo@btrvs.org</t>
  </si>
  <si>
    <t>11 Valley Road</t>
  </si>
  <si>
    <t>Boonton Township</t>
  </si>
  <si>
    <t>973-334-4162 x321</t>
  </si>
  <si>
    <t>Cira</t>
  </si>
  <si>
    <t>Giarratano</t>
  </si>
  <si>
    <t>Lia</t>
  </si>
  <si>
    <t>Lendis</t>
  </si>
  <si>
    <t>www.rvsnj.org</t>
  </si>
  <si>
    <t>Butler Public School District</t>
  </si>
  <si>
    <t>djohnson@butlerboe.org</t>
  </si>
  <si>
    <t>38 Bartholdi Ave</t>
  </si>
  <si>
    <t xml:space="preserve">HS Annex </t>
  </si>
  <si>
    <t>HS Annex</t>
  </si>
  <si>
    <t>973-492-2025 x6511</t>
  </si>
  <si>
    <t>Tierney</t>
  </si>
  <si>
    <t>Nicosia</t>
  </si>
  <si>
    <t>Szabo</t>
  </si>
  <si>
    <t>Evelyn</t>
  </si>
  <si>
    <t>Horner</t>
  </si>
  <si>
    <t>www.butlerboe.org</t>
  </si>
  <si>
    <t>Chester Township School District</t>
  </si>
  <si>
    <t>VanWoert</t>
  </si>
  <si>
    <t>christina.vanwoert@chester-nj.org</t>
  </si>
  <si>
    <t>50 North Road</t>
  </si>
  <si>
    <t xml:space="preserve">Building 4 </t>
  </si>
  <si>
    <t>Chester</t>
  </si>
  <si>
    <t>Building 4</t>
  </si>
  <si>
    <t>908-879-7373 x 7312</t>
  </si>
  <si>
    <t>Krone</t>
  </si>
  <si>
    <t>Currie</t>
  </si>
  <si>
    <t>www.chester-nj.org</t>
  </si>
  <si>
    <t>Denville Township K-8 School District</t>
  </si>
  <si>
    <t>Forte</t>
  </si>
  <si>
    <t>sforte@denville.org</t>
  </si>
  <si>
    <t>1 St. Mary Place</t>
  </si>
  <si>
    <t>Denville</t>
  </si>
  <si>
    <t>973-983-6530 X3091</t>
  </si>
  <si>
    <t>Damaris</t>
  </si>
  <si>
    <t>Gurowsky</t>
  </si>
  <si>
    <t>Cullis</t>
  </si>
  <si>
    <t>Costanza</t>
  </si>
  <si>
    <t>Evan</t>
  </si>
  <si>
    <t>Scala</t>
  </si>
  <si>
    <t>www.denville.org</t>
  </si>
  <si>
    <t>Dover Public School District</t>
  </si>
  <si>
    <t>jmclaughlin@dover-nj.org</t>
  </si>
  <si>
    <t>100 Grace Street</t>
  </si>
  <si>
    <t>Dover</t>
  </si>
  <si>
    <t>07801-2644</t>
  </si>
  <si>
    <t>973-989-2000</t>
  </si>
  <si>
    <t>Minkewicz</t>
  </si>
  <si>
    <t>Stillo</t>
  </si>
  <si>
    <t>Marion</t>
  </si>
  <si>
    <t>Saulnier</t>
  </si>
  <si>
    <t>Bullock</t>
  </si>
  <si>
    <t>http://district.dover-nj.org</t>
  </si>
  <si>
    <t>East Hanover Township School District</t>
  </si>
  <si>
    <t>Natalee</t>
  </si>
  <si>
    <t>Bartlett</t>
  </si>
  <si>
    <t>nbartlett@easthanoverschools.org</t>
  </si>
  <si>
    <t>20 School Avenue</t>
  </si>
  <si>
    <t>East Hanover</t>
  </si>
  <si>
    <t>07936-2999</t>
  </si>
  <si>
    <t>973-887-2112</t>
  </si>
  <si>
    <t>Delsandro</t>
  </si>
  <si>
    <t>Alexis</t>
  </si>
  <si>
    <t>Piombino</t>
  </si>
  <si>
    <t>Calomino</t>
  </si>
  <si>
    <t>www.easthanoverschools.org</t>
  </si>
  <si>
    <t>Educational Services Commission of Morris County</t>
  </si>
  <si>
    <t>avilardi@escmorris.com</t>
  </si>
  <si>
    <t>520 Speedwell Avenue</t>
  </si>
  <si>
    <t>Morris Plains</t>
  </si>
  <si>
    <t>973-540-8844 x11</t>
  </si>
  <si>
    <t>Catarina</t>
  </si>
  <si>
    <t>Bilotta</t>
  </si>
  <si>
    <t>Spadafora</t>
  </si>
  <si>
    <t>Jhon</t>
  </si>
  <si>
    <t>Valencia</t>
  </si>
  <si>
    <t>www.escmorris.com</t>
  </si>
  <si>
    <t>Florham Park School District</t>
  </si>
  <si>
    <t>Caponegro</t>
  </si>
  <si>
    <t>steve.caponegro@fpks.org</t>
  </si>
  <si>
    <t>67 Ridgedale Aveune</t>
  </si>
  <si>
    <t>Florham Park</t>
  </si>
  <si>
    <t>PO Box 39</t>
  </si>
  <si>
    <t>973-822-3880 x1003</t>
  </si>
  <si>
    <t>Csatlos</t>
  </si>
  <si>
    <t>Steffen</t>
  </si>
  <si>
    <t>Bernstein</t>
  </si>
  <si>
    <t>Silkensen</t>
  </si>
  <si>
    <t>Infantolino</t>
  </si>
  <si>
    <t>www.fpks.org</t>
  </si>
  <si>
    <t>Hanover Park Regional High School District</t>
  </si>
  <si>
    <t>Carrell</t>
  </si>
  <si>
    <t>mcarrell@hpreg.org</t>
  </si>
  <si>
    <t>75 Mount Pleasant Avenue</t>
  </si>
  <si>
    <t>973-887-0320</t>
  </si>
  <si>
    <t>Strauss</t>
  </si>
  <si>
    <t>Maciag</t>
  </si>
  <si>
    <t>Noemi</t>
  </si>
  <si>
    <t>Schlecht</t>
  </si>
  <si>
    <t>Fields</t>
  </si>
  <si>
    <t>www.hpreg.org</t>
  </si>
  <si>
    <t>Hanover Township School District</t>
  </si>
  <si>
    <t>Wasko</t>
  </si>
  <si>
    <t>michael.wasko@hanovertwpschools.org</t>
  </si>
  <si>
    <t>61 Highland Avenue</t>
  </si>
  <si>
    <t>Whippany</t>
  </si>
  <si>
    <t>973-515-2404</t>
  </si>
  <si>
    <t>Wolsky</t>
  </si>
  <si>
    <t>Margolis</t>
  </si>
  <si>
    <t>Darrin</t>
  </si>
  <si>
    <t>Stark</t>
  </si>
  <si>
    <t>www.hanovertwpschools.com</t>
  </si>
  <si>
    <t>Harding Township School District</t>
  </si>
  <si>
    <t>Spelker</t>
  </si>
  <si>
    <t>mspelker@hardingtwp.org</t>
  </si>
  <si>
    <t>34 Lees Hill Road</t>
  </si>
  <si>
    <t>New Vernon</t>
  </si>
  <si>
    <t>PO Box 248</t>
  </si>
  <si>
    <t>973-267-6398 x101</t>
  </si>
  <si>
    <t>Appleton</t>
  </si>
  <si>
    <t>Magno</t>
  </si>
  <si>
    <t>Donohue</t>
  </si>
  <si>
    <t>Emily</t>
  </si>
  <si>
    <t>Thony</t>
  </si>
  <si>
    <t>www.hardingtwp.org</t>
  </si>
  <si>
    <t>Jefferson Township Public School District</t>
  </si>
  <si>
    <t>jhowe@jefftwp.org</t>
  </si>
  <si>
    <t>31 Route 181</t>
  </si>
  <si>
    <t>Lake Hopatcong</t>
  </si>
  <si>
    <t>973-663-5780 x5094</t>
  </si>
  <si>
    <t>Giacchi</t>
  </si>
  <si>
    <t>Juceyka</t>
  </si>
  <si>
    <t>Josephine</t>
  </si>
  <si>
    <t>Fleming</t>
  </si>
  <si>
    <t>www.jefftwp.org</t>
  </si>
  <si>
    <t>Kinnelon School District</t>
  </si>
  <si>
    <t>DiGiuseppe</t>
  </si>
  <si>
    <t>DigiuseppeD@kinnelon.org</t>
  </si>
  <si>
    <t>109 Kiel Avenue</t>
  </si>
  <si>
    <t>Kinnelon</t>
  </si>
  <si>
    <t>973-838-1418 x5000</t>
  </si>
  <si>
    <t>Keane</t>
  </si>
  <si>
    <t>Corde</t>
  </si>
  <si>
    <t>Meridith</t>
  </si>
  <si>
    <t>Ivonne</t>
  </si>
  <si>
    <t>Ciresi</t>
  </si>
  <si>
    <t>Jannicelli</t>
  </si>
  <si>
    <t>Shivas</t>
  </si>
  <si>
    <t>www.kinnelonpublicschools.org</t>
  </si>
  <si>
    <t>Lincoln Park School District</t>
  </si>
  <si>
    <t>meyer@lincpk.com</t>
  </si>
  <si>
    <t>92 Ryerson Road</t>
  </si>
  <si>
    <t>Lincoln Park</t>
  </si>
  <si>
    <t>973-696-5500 x1002</t>
  </si>
  <si>
    <t>Schoening</t>
  </si>
  <si>
    <t>Wendy</t>
  </si>
  <si>
    <t>Billig</t>
  </si>
  <si>
    <t>Winston</t>
  </si>
  <si>
    <t>Foley</t>
  </si>
  <si>
    <t>www.lincolnparkboe.org</t>
  </si>
  <si>
    <t>Long Hill Township School District</t>
  </si>
  <si>
    <t>Mucci</t>
  </si>
  <si>
    <t>AMucci@longhill.org</t>
  </si>
  <si>
    <t>759 Valley Road</t>
  </si>
  <si>
    <t>Gillette</t>
  </si>
  <si>
    <t>908-647-1200  x1031</t>
  </si>
  <si>
    <t>Kot</t>
  </si>
  <si>
    <t>Fraida</t>
  </si>
  <si>
    <t>Yavelberg</t>
  </si>
  <si>
    <t>Backer</t>
  </si>
  <si>
    <t>www.longhill.org</t>
  </si>
  <si>
    <t>Madison Public School District</t>
  </si>
  <si>
    <t>schwarzm@madisonnjps.org</t>
  </si>
  <si>
    <t>359 Woodland Road</t>
  </si>
  <si>
    <t>Madison</t>
  </si>
  <si>
    <t>973-593-3100 x3103</t>
  </si>
  <si>
    <t>Mancuso</t>
  </si>
  <si>
    <t>LaPierre</t>
  </si>
  <si>
    <t>Drechsel</t>
  </si>
  <si>
    <t>www.madisonpublicschools.org</t>
  </si>
  <si>
    <t>Mendham Borough School District</t>
  </si>
  <si>
    <t>Mitzi</t>
  </si>
  <si>
    <t>Morillo</t>
  </si>
  <si>
    <t>morillo@mendhamboroschools.org</t>
  </si>
  <si>
    <t>12 HILLTOP ROAD</t>
  </si>
  <si>
    <t>MENDHAM</t>
  </si>
  <si>
    <t>973-543-2295</t>
  </si>
  <si>
    <t>Felicia</t>
  </si>
  <si>
    <t>Kicinski</t>
  </si>
  <si>
    <t>Holmes</t>
  </si>
  <si>
    <t>Moser</t>
  </si>
  <si>
    <t>Mary Joy</t>
  </si>
  <si>
    <t>Falcone</t>
  </si>
  <si>
    <t>www.mendhamboro.org</t>
  </si>
  <si>
    <t>Mendham Township School District</t>
  </si>
  <si>
    <t>Constantino</t>
  </si>
  <si>
    <t>sconstantino@mendhamtwp.org</t>
  </si>
  <si>
    <t>18 West Main Street</t>
  </si>
  <si>
    <t>Brookside</t>
  </si>
  <si>
    <t>PO Box 510</t>
  </si>
  <si>
    <t>973-543-7107</t>
  </si>
  <si>
    <t>Mosner</t>
  </si>
  <si>
    <t>Koroski</t>
  </si>
  <si>
    <t>Ricci</t>
  </si>
  <si>
    <t>www.mendhamtwp.org</t>
  </si>
  <si>
    <t>Mine Hill Township School District</t>
  </si>
  <si>
    <t>Nittel</t>
  </si>
  <si>
    <t>lnittel@minehillcas.org</t>
  </si>
  <si>
    <t>42 Canfield Avenue</t>
  </si>
  <si>
    <t>Mine Hill</t>
  </si>
  <si>
    <t>973-366-0590 x310</t>
  </si>
  <si>
    <t>Carolina</t>
  </si>
  <si>
    <t>Giantomasi</t>
  </si>
  <si>
    <t>Zygmunt</t>
  </si>
  <si>
    <t>www.minehillcas.org</t>
  </si>
  <si>
    <t>Montville Township School District</t>
  </si>
  <si>
    <t>Rovtar</t>
  </si>
  <si>
    <t>rene.rovtar@montville.net</t>
  </si>
  <si>
    <t>86 River Road</t>
  </si>
  <si>
    <t>Montville</t>
  </si>
  <si>
    <t>07045-9421</t>
  </si>
  <si>
    <t>973-331-7100 x2223</t>
  </si>
  <si>
    <t>Katine</t>
  </si>
  <si>
    <t>Slunt</t>
  </si>
  <si>
    <t>DeSaye</t>
  </si>
  <si>
    <t>Leslee</t>
  </si>
  <si>
    <t>Scheckman</t>
  </si>
  <si>
    <t>Shorter</t>
  </si>
  <si>
    <t>Thomsen</t>
  </si>
  <si>
    <t>www.montville.nethttp://www.montvilletwpps.nj.schools.bz/</t>
  </si>
  <si>
    <t>Morris County Vocational School District</t>
  </si>
  <si>
    <t>Moffitt</t>
  </si>
  <si>
    <t>moffitts@mcvts.org</t>
  </si>
  <si>
    <t>400 East Main Street</t>
  </si>
  <si>
    <t>973-627-4600 X213</t>
  </si>
  <si>
    <t>Rollo</t>
  </si>
  <si>
    <t>Athena</t>
  </si>
  <si>
    <t>Borzeka</t>
  </si>
  <si>
    <t>Azzolina</t>
  </si>
  <si>
    <t>Menadier</t>
  </si>
  <si>
    <t>www.mcvts.org</t>
  </si>
  <si>
    <t>Morris Hills Regional School District</t>
  </si>
  <si>
    <t>Jencarelli</t>
  </si>
  <si>
    <t>jjencarelli@mhrd.org</t>
  </si>
  <si>
    <t>48 Knoll Drive</t>
  </si>
  <si>
    <t>Rockaway</t>
  </si>
  <si>
    <t>973-664-2291</t>
  </si>
  <si>
    <t>Joann</t>
  </si>
  <si>
    <t>Gilman Auricchio</t>
  </si>
  <si>
    <t>Boyer</t>
  </si>
  <si>
    <t>Nisha</t>
  </si>
  <si>
    <t>Zoeller</t>
  </si>
  <si>
    <t>www.mhrd.org</t>
  </si>
  <si>
    <t>Morris Plains School District</t>
  </si>
  <si>
    <t>MAIRE</t>
  </si>
  <si>
    <t>MMAIRE@MPSDK8.ORG</t>
  </si>
  <si>
    <t>520 SPEEDWELL AVENUE</t>
  </si>
  <si>
    <t xml:space="preserve">Suite 116 </t>
  </si>
  <si>
    <t>MORRIS PLAINS</t>
  </si>
  <si>
    <t>Suite 116</t>
  </si>
  <si>
    <t>973-531-9586</t>
  </si>
  <si>
    <t>JENISH</t>
  </si>
  <si>
    <t>MEGAN</t>
  </si>
  <si>
    <t>GROPP</t>
  </si>
  <si>
    <t>LINDSAY</t>
  </si>
  <si>
    <t>VIEIRA</t>
  </si>
  <si>
    <t>BRIAN</t>
  </si>
  <si>
    <t>WILSON</t>
  </si>
  <si>
    <t>MORRISPLAINSSCHOOLDISTRICT.ORG</t>
  </si>
  <si>
    <t>Morris School District</t>
  </si>
  <si>
    <t>Mackey</t>
  </si>
  <si>
    <t>Pendergrast</t>
  </si>
  <si>
    <t>mpendergrast@msdk12.net</t>
  </si>
  <si>
    <t>31 HAZEL STREET</t>
  </si>
  <si>
    <t>MORRISTOWN</t>
  </si>
  <si>
    <t>973-292-2300 x2010</t>
  </si>
  <si>
    <t>LoFranco</t>
  </si>
  <si>
    <t>Gold</t>
  </si>
  <si>
    <t>Debora</t>
  </si>
  <si>
    <t>Engelfried</t>
  </si>
  <si>
    <t>Harte</t>
  </si>
  <si>
    <t>McDade</t>
  </si>
  <si>
    <t>www.morrisschooldistrict.org</t>
  </si>
  <si>
    <t>Mount Arlington Public School District</t>
  </si>
  <si>
    <t>Rowland</t>
  </si>
  <si>
    <t>mrowland@mtarlingtonk8.org</t>
  </si>
  <si>
    <t>446 Howard Boulevard</t>
  </si>
  <si>
    <t>Mount Arlington</t>
  </si>
  <si>
    <t>07856-1120</t>
  </si>
  <si>
    <t>973-770-2504</t>
  </si>
  <si>
    <t>Tedesco</t>
  </si>
  <si>
    <t>Ochoa</t>
  </si>
  <si>
    <t>Grillo</t>
  </si>
  <si>
    <t>Maggie</t>
  </si>
  <si>
    <t>Pickens</t>
  </si>
  <si>
    <t>www.mtartlingtonk8.org</t>
  </si>
  <si>
    <t>Mount Olive Township School District</t>
  </si>
  <si>
    <t>Zywicki</t>
  </si>
  <si>
    <t>robert.zywicki@motsd.org</t>
  </si>
  <si>
    <t>227 US Highway 206</t>
  </si>
  <si>
    <t xml:space="preserve">Suite 10 </t>
  </si>
  <si>
    <t>Flanders</t>
  </si>
  <si>
    <t>Suite 10</t>
  </si>
  <si>
    <t>973-691-4008 X8101</t>
  </si>
  <si>
    <t>Libby</t>
  </si>
  <si>
    <t>Staszak</t>
  </si>
  <si>
    <t>Breton</t>
  </si>
  <si>
    <t>Halien</t>
  </si>
  <si>
    <t>Carifi</t>
  </si>
  <si>
    <t>www.mtoliveboe.org</t>
  </si>
  <si>
    <t>Mountain Lakes Public School District</t>
  </si>
  <si>
    <t>Fetherman</t>
  </si>
  <si>
    <t>mfetherman@mlschools.org</t>
  </si>
  <si>
    <t>400 Boulevard</t>
  </si>
  <si>
    <t>Mt Lakes</t>
  </si>
  <si>
    <t>973-334-8280</t>
  </si>
  <si>
    <t>Ferreira</t>
  </si>
  <si>
    <t>DiGiacinto</t>
  </si>
  <si>
    <t>Pagan</t>
  </si>
  <si>
    <t>Nate</t>
  </si>
  <si>
    <t>Fitch</t>
  </si>
  <si>
    <t>Pfister</t>
  </si>
  <si>
    <t>www.mlschools.org/district</t>
  </si>
  <si>
    <t>Netcong School District</t>
  </si>
  <si>
    <t>kwalsh@netcongschool.org</t>
  </si>
  <si>
    <t>26 College Road</t>
  </si>
  <si>
    <t>Netcong</t>
  </si>
  <si>
    <t>41 College Road</t>
  </si>
  <si>
    <t>973-347-0020 x218</t>
  </si>
  <si>
    <t>Stabile</t>
  </si>
  <si>
    <t>Kurt</t>
  </si>
  <si>
    <t>Ceresnak</t>
  </si>
  <si>
    <t>www.netcongschool.org</t>
  </si>
  <si>
    <t>Parsippany-Troy Hills Township School District</t>
  </si>
  <si>
    <t>superintendent@pthsd.net</t>
  </si>
  <si>
    <t>292 Parsippany Road</t>
  </si>
  <si>
    <t>Parsippany</t>
  </si>
  <si>
    <t>973-263-7250</t>
  </si>
  <si>
    <t>Savio</t>
  </si>
  <si>
    <t>Cortright</t>
  </si>
  <si>
    <t>Cory</t>
  </si>
  <si>
    <t>Wegesa</t>
  </si>
  <si>
    <t>Gigante</t>
  </si>
  <si>
    <t>www.pthsd.k12.nj.us</t>
  </si>
  <si>
    <t>Pequannock Township School District</t>
  </si>
  <si>
    <t>Portas</t>
  </si>
  <si>
    <t>michael.portas@pequannock.org</t>
  </si>
  <si>
    <t>538 Newark Pompton Tpke.</t>
  </si>
  <si>
    <t>Pompton Plains</t>
  </si>
  <si>
    <t>973-616-6040 x 7206</t>
  </si>
  <si>
    <t>Sallyann</t>
  </si>
  <si>
    <t>McCarty</t>
  </si>
  <si>
    <t>Helena</t>
  </si>
  <si>
    <t>Branco</t>
  </si>
  <si>
    <t>Mathew</t>
  </si>
  <si>
    <t>Reiner</t>
  </si>
  <si>
    <t>www.pequannock.org</t>
  </si>
  <si>
    <t>Randolph Township School District</t>
  </si>
  <si>
    <t>Fano</t>
  </si>
  <si>
    <t>jfano@rtnj.org</t>
  </si>
  <si>
    <t>25 School House Road</t>
  </si>
  <si>
    <t>973-361-0808  x8204</t>
  </si>
  <si>
    <t>Gerald</t>
  </si>
  <si>
    <t>Eckert</t>
  </si>
  <si>
    <t>Walter</t>
  </si>
  <si>
    <t>Curioni</t>
  </si>
  <si>
    <t>Maryalice</t>
  </si>
  <si>
    <t>Soldivieri</t>
  </si>
  <si>
    <t>Pati</t>
  </si>
  <si>
    <t>Rorrer</t>
  </si>
  <si>
    <t>www.rtnj.org</t>
  </si>
  <si>
    <t>Riverdale School District</t>
  </si>
  <si>
    <t>Jayson</t>
  </si>
  <si>
    <t>jgutierrez@rpsnj.org</t>
  </si>
  <si>
    <t>52 Newark Pompton Tpk.</t>
  </si>
  <si>
    <t>Riverdale</t>
  </si>
  <si>
    <t>973-839-1300 x7</t>
  </si>
  <si>
    <t>Dilorenzo</t>
  </si>
  <si>
    <t>Kobliska</t>
  </si>
  <si>
    <t>Curcio</t>
  </si>
  <si>
    <t>www.rpsnj.org</t>
  </si>
  <si>
    <t>Rockaway Borough School District</t>
  </si>
  <si>
    <t>Phyllis</t>
  </si>
  <si>
    <t>Alpaugh</t>
  </si>
  <si>
    <t>pa@rockboro.org</t>
  </si>
  <si>
    <t>103 East Main Street</t>
  </si>
  <si>
    <t>973-625-8601</t>
  </si>
  <si>
    <t>Stepka</t>
  </si>
  <si>
    <t>Mililssa</t>
  </si>
  <si>
    <t>Dachisen</t>
  </si>
  <si>
    <t>Argenziano</t>
  </si>
  <si>
    <t>Reyes</t>
  </si>
  <si>
    <t>Waxman</t>
  </si>
  <si>
    <t>www.rockboro.org</t>
  </si>
  <si>
    <t>Rockaway Township School District</t>
  </si>
  <si>
    <t>Turnamian</t>
  </si>
  <si>
    <t>pturnamian@rocktwp.net</t>
  </si>
  <si>
    <t>16 School Road</t>
  </si>
  <si>
    <t xml:space="preserve">PO Box 500 </t>
  </si>
  <si>
    <t>Hibernia</t>
  </si>
  <si>
    <t>PO Box 500</t>
  </si>
  <si>
    <t>973-627-8200</t>
  </si>
  <si>
    <t>DeCarlo</t>
  </si>
  <si>
    <t>Bebarce</t>
  </si>
  <si>
    <t>El-Tayib</t>
  </si>
  <si>
    <t>http://www.rocktwp.net</t>
  </si>
  <si>
    <t>Roxbury Township School District</t>
  </si>
  <si>
    <t>Radulic</t>
  </si>
  <si>
    <t>lradulic@roxbury.org</t>
  </si>
  <si>
    <t>42 N. Hillside Avenue</t>
  </si>
  <si>
    <t>Succasunna</t>
  </si>
  <si>
    <t>07876-1443</t>
  </si>
  <si>
    <t>973-584-6099 x5002</t>
  </si>
  <si>
    <t>Mondanaro</t>
  </si>
  <si>
    <t>Seipp</t>
  </si>
  <si>
    <t>Curtis</t>
  </si>
  <si>
    <t>Pitzer</t>
  </si>
  <si>
    <t>Simonetti</t>
  </si>
  <si>
    <t>www.roxbury.org</t>
  </si>
  <si>
    <t>School District of the Chathams</t>
  </si>
  <si>
    <t>LaSusa</t>
  </si>
  <si>
    <t>mlasusa@chatham-nj.org</t>
  </si>
  <si>
    <t>259 Lafayette Avenue</t>
  </si>
  <si>
    <t>Chatham</t>
  </si>
  <si>
    <t>973-457-2520</t>
  </si>
  <si>
    <t>Daquila</t>
  </si>
  <si>
    <t>DElia</t>
  </si>
  <si>
    <t>Chase</t>
  </si>
  <si>
    <t>Abdelmalak</t>
  </si>
  <si>
    <t>www.chatham-nj.org</t>
  </si>
  <si>
    <t>Unity Charter School</t>
  </si>
  <si>
    <t>Connie</t>
  </si>
  <si>
    <t>connie.sanchez@unitycharterschool.org</t>
  </si>
  <si>
    <t>1 Evergreen Place</t>
  </si>
  <si>
    <t xml:space="preserve">Suite A </t>
  </si>
  <si>
    <t>Morristown</t>
  </si>
  <si>
    <t>Suite A</t>
  </si>
  <si>
    <t>973-292-1808 x77</t>
  </si>
  <si>
    <t>Curry</t>
  </si>
  <si>
    <t>Sadin</t>
  </si>
  <si>
    <t>Braverman</t>
  </si>
  <si>
    <t>Kristopher</t>
  </si>
  <si>
    <t>Scotto</t>
  </si>
  <si>
    <t>www.unitycharterschool.org</t>
  </si>
  <si>
    <t>Mohre</t>
  </si>
  <si>
    <t>jmohre@wtschools.org</t>
  </si>
  <si>
    <t>53 West Mill Road</t>
  </si>
  <si>
    <t>Long Valley</t>
  </si>
  <si>
    <t>908-876-4172 x 1024</t>
  </si>
  <si>
    <t>Scairpon</t>
  </si>
  <si>
    <t>Winsted</t>
  </si>
  <si>
    <t>Gutwein</t>
  </si>
  <si>
    <t>www.wtschools.org</t>
  </si>
  <si>
    <t>West Morris Regional High School District</t>
  </si>
  <si>
    <t>Ben-David</t>
  </si>
  <si>
    <t>mbendavid@wmrhsd.org</t>
  </si>
  <si>
    <t>10 SOUTH FOUR BRIDGES ROAD</t>
  </si>
  <si>
    <t>CHESTER</t>
  </si>
  <si>
    <t>908-879-6404 x1281</t>
  </si>
  <si>
    <t>L Douglas</t>
  </si>
  <si>
    <t>Pechanec</t>
  </si>
  <si>
    <t>Reinknecht</t>
  </si>
  <si>
    <t>Braun</t>
  </si>
  <si>
    <t>Beavers</t>
  </si>
  <si>
    <t>www.wmrhsd.org</t>
  </si>
  <si>
    <t>Wharton Borough School District</t>
  </si>
  <si>
    <t>HERDMAN</t>
  </si>
  <si>
    <t>cherdman@wbps.org</t>
  </si>
  <si>
    <t>137 EAST CENTRAL AVENUE</t>
  </si>
  <si>
    <t>WHARTON</t>
  </si>
  <si>
    <t>973-361-2592</t>
  </si>
  <si>
    <t>SANDY</t>
  </si>
  <si>
    <t>CAMMARATA</t>
  </si>
  <si>
    <t>MARIE</t>
  </si>
  <si>
    <t>GIANTOMASI</t>
  </si>
  <si>
    <t>PATRICK</t>
  </si>
  <si>
    <t>KETCH</t>
  </si>
  <si>
    <t>COLLEEN</t>
  </si>
  <si>
    <t>SILVESTRI</t>
  </si>
  <si>
    <t>Fiederer</t>
  </si>
  <si>
    <t>www.wbps.org</t>
  </si>
  <si>
    <t>OCEAN</t>
  </si>
  <si>
    <t>Barnegat Township School District</t>
  </si>
  <si>
    <t>Latwis</t>
  </si>
  <si>
    <t>blatwis@barnegatschools.com</t>
  </si>
  <si>
    <t>550 Barnegat Blvd</t>
  </si>
  <si>
    <t>Barnegat</t>
  </si>
  <si>
    <t>609-698-5800 x5116</t>
  </si>
  <si>
    <t>Purpuri</t>
  </si>
  <si>
    <t>Nichol</t>
  </si>
  <si>
    <t>www.barnegatschools.com</t>
  </si>
  <si>
    <t>Bay Head Borough School District</t>
  </si>
  <si>
    <t>pmorris@lavallettek12.org</t>
  </si>
  <si>
    <t>145 Grove Street</t>
  </si>
  <si>
    <t>Bay Head</t>
  </si>
  <si>
    <t>08742-5027</t>
  </si>
  <si>
    <t>732-793-7722</t>
  </si>
  <si>
    <t>Cartwright</t>
  </si>
  <si>
    <t>Jana</t>
  </si>
  <si>
    <t>Phelps</t>
  </si>
  <si>
    <t>AnnMarie</t>
  </si>
  <si>
    <t>Wisliceny</t>
  </si>
  <si>
    <t>McDermitt</t>
  </si>
  <si>
    <t>Camardo</t>
  </si>
  <si>
    <t>www.bayheadschool.org</t>
  </si>
  <si>
    <t>Beach Haven School District</t>
  </si>
  <si>
    <t>Meyrick</t>
  </si>
  <si>
    <t>8th Street &amp; Beach Avenue</t>
  </si>
  <si>
    <t xml:space="preserve">8th Street &amp; Beach Avenue </t>
  </si>
  <si>
    <t>Beach Haven</t>
  </si>
  <si>
    <t>609-492-7411</t>
  </si>
  <si>
    <t>Terhune</t>
  </si>
  <si>
    <t>www.BeachHavenSchool.com</t>
  </si>
  <si>
    <t>Berkeley Township School District</t>
  </si>
  <si>
    <t>Roselli</t>
  </si>
  <si>
    <t>jroselli@btboe.org</t>
  </si>
  <si>
    <t>53 Central Parkway</t>
  </si>
  <si>
    <t>Bayville</t>
  </si>
  <si>
    <t>732-269-2321</t>
  </si>
  <si>
    <t>Gingerelli</t>
  </si>
  <si>
    <t>Fierra</t>
  </si>
  <si>
    <t>Zito</t>
  </si>
  <si>
    <t>Reid</t>
  </si>
  <si>
    <t>Conforti</t>
  </si>
  <si>
    <t>www.btboe.org</t>
  </si>
  <si>
    <t>Brick Township Public School District</t>
  </si>
  <si>
    <t>tfarrell@brickschools.org</t>
  </si>
  <si>
    <t>101 Hendrickson Avenue</t>
  </si>
  <si>
    <t>Brick</t>
  </si>
  <si>
    <t>732-785-3000 x 1019</t>
  </si>
  <si>
    <t>Hanson</t>
  </si>
  <si>
    <t>Mosely</t>
  </si>
  <si>
    <t>McNamara</t>
  </si>
  <si>
    <t>Baio</t>
  </si>
  <si>
    <t>O'Cone</t>
  </si>
  <si>
    <t>www.brickschools.org</t>
  </si>
  <si>
    <t>Central Regional School District</t>
  </si>
  <si>
    <t>Triantafillos</t>
  </si>
  <si>
    <t>Parlapanides</t>
  </si>
  <si>
    <t>tparlapanides@centralreg.k12.nj.us</t>
  </si>
  <si>
    <t>509 Forest Hills Parkway</t>
  </si>
  <si>
    <t>732-269-1100 x3206</t>
  </si>
  <si>
    <t>OShea</t>
  </si>
  <si>
    <t>McCauley</t>
  </si>
  <si>
    <t>Gallahue</t>
  </si>
  <si>
    <t>www.centralreg.k12.nj.us</t>
  </si>
  <si>
    <t>Eagleswood Township School District</t>
  </si>
  <si>
    <t>dsnyder@etesd.com</t>
  </si>
  <si>
    <t>511 Route 9</t>
  </si>
  <si>
    <t>West Creek</t>
  </si>
  <si>
    <t>609-597-3663</t>
  </si>
  <si>
    <t>Tyler</t>
  </si>
  <si>
    <t>Verga</t>
  </si>
  <si>
    <t>MaryAnn</t>
  </si>
  <si>
    <t>Petras</t>
  </si>
  <si>
    <t>www.eagleswood.org</t>
  </si>
  <si>
    <t>Island Heights School District</t>
  </si>
  <si>
    <t>Rehm</t>
  </si>
  <si>
    <t>trehm@islandheights.k12.nj.us</t>
  </si>
  <si>
    <t>115 Summit Avenue</t>
  </si>
  <si>
    <t>Island Heights</t>
  </si>
  <si>
    <t>PO Box 329</t>
  </si>
  <si>
    <t>732-929-1222</t>
  </si>
  <si>
    <t>Frazee</t>
  </si>
  <si>
    <t>www.islandheights.k12.nj.us</t>
  </si>
  <si>
    <t>Jackson Township School District</t>
  </si>
  <si>
    <t>Pormilli</t>
  </si>
  <si>
    <t>npormilli@jacksonsd.org</t>
  </si>
  <si>
    <t>151 Don Connor Boulevard</t>
  </si>
  <si>
    <t>08527-3497</t>
  </si>
  <si>
    <t>732-833-4601</t>
  </si>
  <si>
    <t>Milewski</t>
  </si>
  <si>
    <t>Holtz</t>
  </si>
  <si>
    <t>Mahabir</t>
  </si>
  <si>
    <t>www.jacksonsd.org</t>
  </si>
  <si>
    <t>Lacey Township School District</t>
  </si>
  <si>
    <t>vclark@laceyschools.org</t>
  </si>
  <si>
    <t>200 Western Blvd.</t>
  </si>
  <si>
    <t>Lanoka Harbor</t>
  </si>
  <si>
    <t>609-971-2000 x1002</t>
  </si>
  <si>
    <t>DeGeorge</t>
  </si>
  <si>
    <t>www.laceyschools.org</t>
  </si>
  <si>
    <t>Lakehurst School District</t>
  </si>
  <si>
    <t>Loren</t>
  </si>
  <si>
    <t>Fuhring</t>
  </si>
  <si>
    <t>lfuhring@lakehurstschool.org</t>
  </si>
  <si>
    <t>401 UNION AVENUE</t>
  </si>
  <si>
    <t>LAKEHURST</t>
  </si>
  <si>
    <t>732-657-5741</t>
  </si>
  <si>
    <t>Parliman</t>
  </si>
  <si>
    <t>Clifford</t>
  </si>
  <si>
    <t>Barneman</t>
  </si>
  <si>
    <t>www.lakehurstschool.org</t>
  </si>
  <si>
    <t>Lakewood Township School District</t>
  </si>
  <si>
    <t>Winters</t>
  </si>
  <si>
    <t>lwinters@lakewoodpiners.org</t>
  </si>
  <si>
    <t>200 Ramsey Avenue</t>
  </si>
  <si>
    <t>Lakewood</t>
  </si>
  <si>
    <t>732-905-3633</t>
  </si>
  <si>
    <t>Rosciano-DiPietro</t>
  </si>
  <si>
    <t>Oscar</t>
  </si>
  <si>
    <t>Paolantonio</t>
  </si>
  <si>
    <t>Trischitta</t>
  </si>
  <si>
    <t>www.lakewoodpiners.org</t>
  </si>
  <si>
    <t>Lavallette Borough School District</t>
  </si>
  <si>
    <t>105 Brooklyn Avenue</t>
  </si>
  <si>
    <t>Lavallette</t>
  </si>
  <si>
    <t>732-793-7722 x 200</t>
  </si>
  <si>
    <t>Daily</t>
  </si>
  <si>
    <t>Misdom</t>
  </si>
  <si>
    <t>www.lavallettek12.org</t>
  </si>
  <si>
    <t>Little Egg Harbor Township School District</t>
  </si>
  <si>
    <t>McCooley</t>
  </si>
  <si>
    <t>Mmccooley@lehsd.org</t>
  </si>
  <si>
    <t>307 Frog Pond Road</t>
  </si>
  <si>
    <t>Little Egg Harbor</t>
  </si>
  <si>
    <t>609-296-1719 x 1010</t>
  </si>
  <si>
    <t>Lichtenwalner</t>
  </si>
  <si>
    <t>Truzzolino</t>
  </si>
  <si>
    <t>Berenato</t>
  </si>
  <si>
    <t>Nazarok</t>
  </si>
  <si>
    <t>www.lehsd.org</t>
  </si>
  <si>
    <t>Long Beach Island Consolidated School District</t>
  </si>
  <si>
    <t>Kopack</t>
  </si>
  <si>
    <t>pkopack@lbi.k12.nj.us</t>
  </si>
  <si>
    <t>201 20TH STREET</t>
  </si>
  <si>
    <t>SHIP BOTTOM</t>
  </si>
  <si>
    <t>609-494-8851 x 2107</t>
  </si>
  <si>
    <t>Birney</t>
  </si>
  <si>
    <t>Oldham</t>
  </si>
  <si>
    <t>www.lbischools.org</t>
  </si>
  <si>
    <t>Manchester Township School District</t>
  </si>
  <si>
    <t>Trethaway</t>
  </si>
  <si>
    <t>dtrethaway@mtschools.org</t>
  </si>
  <si>
    <t>121 Route 539</t>
  </si>
  <si>
    <t>Whiting</t>
  </si>
  <si>
    <t>732-350-5900 x2225</t>
  </si>
  <si>
    <t>Lorentzen</t>
  </si>
  <si>
    <t>Oliver</t>
  </si>
  <si>
    <t>Lokerson</t>
  </si>
  <si>
    <t>Alexander</t>
  </si>
  <si>
    <t>www.manchestertwp.org</t>
  </si>
  <si>
    <t>Ocean Academy Charter School</t>
  </si>
  <si>
    <t>Valarie</t>
  </si>
  <si>
    <t>valarie.smith@oceanacademycs.org</t>
  </si>
  <si>
    <t>1650 Massachusetts Ave</t>
  </si>
  <si>
    <t>732-987-6525</t>
  </si>
  <si>
    <t>Coughlin</t>
  </si>
  <si>
    <t>Hassel</t>
  </si>
  <si>
    <t>Primavera</t>
  </si>
  <si>
    <t>Millie</t>
  </si>
  <si>
    <t>Tuchez</t>
  </si>
  <si>
    <t>www.oceanacademycs.com</t>
  </si>
  <si>
    <t>Ocean County Vocational Technical School District</t>
  </si>
  <si>
    <t>Homiek</t>
  </si>
  <si>
    <t>khomiek@mail.ocvts.org</t>
  </si>
  <si>
    <t>137 Bey Lea Road</t>
  </si>
  <si>
    <t>Toms River</t>
  </si>
  <si>
    <t>732-240-6414 x 3333</t>
  </si>
  <si>
    <t>Dineen</t>
  </si>
  <si>
    <t>Lasky</t>
  </si>
  <si>
    <t>Tash</t>
  </si>
  <si>
    <t>www.ocvts.org</t>
  </si>
  <si>
    <t>Ocean Gate School District</t>
  </si>
  <si>
    <t>Patterson</t>
  </si>
  <si>
    <t>patterson@oceangateschool.net</t>
  </si>
  <si>
    <t>126 West Arverne Avenue</t>
  </si>
  <si>
    <t xml:space="preserve">P.O. Box 478 </t>
  </si>
  <si>
    <t>Ocean Gate</t>
  </si>
  <si>
    <t>P.O. Box 478</t>
  </si>
  <si>
    <t>732-269-3023</t>
  </si>
  <si>
    <t>Failla</t>
  </si>
  <si>
    <t>Hickey-Esler</t>
  </si>
  <si>
    <t>www.oceangateschool.net</t>
  </si>
  <si>
    <t>Ocean Township School District</t>
  </si>
  <si>
    <t>Lommerin</t>
  </si>
  <si>
    <t>clommerin@otsdk6.org</t>
  </si>
  <si>
    <t>64 Railroad Avenue</t>
  </si>
  <si>
    <t>Waretown</t>
  </si>
  <si>
    <t>609-693-3131 x130</t>
  </si>
  <si>
    <t>Reinhold</t>
  </si>
  <si>
    <t>Eberenz</t>
  </si>
  <si>
    <t>Ariane</t>
  </si>
  <si>
    <t>Hagan</t>
  </si>
  <si>
    <t>www.otsdk6.org</t>
  </si>
  <si>
    <t>Pinelands Regional School District</t>
  </si>
  <si>
    <t>MMcCooley@prsdnj.org</t>
  </si>
  <si>
    <t>520 Nugentown Road</t>
  </si>
  <si>
    <t>609-296-3106 X3281</t>
  </si>
  <si>
    <t>Hickman</t>
  </si>
  <si>
    <t>www.pinelandsregional.org</t>
  </si>
  <si>
    <t>Plumsted Township School District</t>
  </si>
  <si>
    <t>Halperin-Krain</t>
  </si>
  <si>
    <t>halperin-krainm@newegypt.us</t>
  </si>
  <si>
    <t>131  Evergreen Road</t>
  </si>
  <si>
    <t>New Egypt</t>
  </si>
  <si>
    <t>131 Evergreen Road</t>
  </si>
  <si>
    <t>609-758-6800 x 4206</t>
  </si>
  <si>
    <t>Gately</t>
  </si>
  <si>
    <t>Petria</t>
  </si>
  <si>
    <t>Funes</t>
  </si>
  <si>
    <t>Nesbihal</t>
  </si>
  <si>
    <t>Drucker</t>
  </si>
  <si>
    <t>Marco</t>
  </si>
  <si>
    <t>Peralta</t>
  </si>
  <si>
    <t>www.newegypt.us</t>
  </si>
  <si>
    <t>Point Pleasant Beach School District</t>
  </si>
  <si>
    <t>smithw@ptbeach.com</t>
  </si>
  <si>
    <t>299 Cooks Lane</t>
  </si>
  <si>
    <t>Point Pleasant Beach</t>
  </si>
  <si>
    <t>732-899-8840 X1000</t>
  </si>
  <si>
    <t>Savage</t>
  </si>
  <si>
    <t>Brodeur</t>
  </si>
  <si>
    <t>www.ptbeach.com</t>
  </si>
  <si>
    <t>Point Pleasant Borough School District</t>
  </si>
  <si>
    <t>vsmith@pointpleasant.k12.nj.us</t>
  </si>
  <si>
    <t>2100 Panther Path</t>
  </si>
  <si>
    <t>Point Pleasant</t>
  </si>
  <si>
    <t>732-701-1900 x2412</t>
  </si>
  <si>
    <t>Corso</t>
  </si>
  <si>
    <t>Dunn</t>
  </si>
  <si>
    <t>Ladd</t>
  </si>
  <si>
    <t>www.pointpleasant.k12.nj.us</t>
  </si>
  <si>
    <t>Seaside Heights School District</t>
  </si>
  <si>
    <t>1200 BAY BLVD</t>
  </si>
  <si>
    <t>SEASIDE HEIGHTS</t>
  </si>
  <si>
    <t>732-269-1100 x 206</t>
  </si>
  <si>
    <t>Raichle</t>
  </si>
  <si>
    <t>http://www.sshschool.org/</t>
  </si>
  <si>
    <t>Seaside Park Borough School District</t>
  </si>
  <si>
    <t>313 South West Central Avenue</t>
  </si>
  <si>
    <t>Seaside Park</t>
  </si>
  <si>
    <t>www.seasideparkschool.com</t>
  </si>
  <si>
    <t>Southern Regional School District</t>
  </si>
  <si>
    <t>chenry@srsd.net</t>
  </si>
  <si>
    <t>105 Cedar Bridge Rd.</t>
  </si>
  <si>
    <t>Manahawkin</t>
  </si>
  <si>
    <t>609-597-9481</t>
  </si>
  <si>
    <t>Schoka</t>
  </si>
  <si>
    <t>Concilio</t>
  </si>
  <si>
    <t>Zatorski</t>
  </si>
  <si>
    <t>www.srsd.net</t>
  </si>
  <si>
    <t>Stafford Township School District</t>
  </si>
  <si>
    <t>Chidiac</t>
  </si>
  <si>
    <t>gchidiac@staffordschools.org</t>
  </si>
  <si>
    <t>250 North Main Street</t>
  </si>
  <si>
    <t>609-978-5700 x1001</t>
  </si>
  <si>
    <t>Lourdes</t>
  </si>
  <si>
    <t>LaGuardia</t>
  </si>
  <si>
    <t>Reo</t>
  </si>
  <si>
    <t>Ytreboe</t>
  </si>
  <si>
    <t>Deren</t>
  </si>
  <si>
    <t>www.staffordschools.org</t>
  </si>
  <si>
    <t>Toms River Regional School District</t>
  </si>
  <si>
    <t>Gialanella</t>
  </si>
  <si>
    <t>tgialanella@trschools.com</t>
  </si>
  <si>
    <t>1144 Hooper Avenue</t>
  </si>
  <si>
    <t>732-818-8530</t>
  </si>
  <si>
    <t>Doering</t>
  </si>
  <si>
    <t>Forrest</t>
  </si>
  <si>
    <t>Fastnacht</t>
  </si>
  <si>
    <t>Attiya</t>
  </si>
  <si>
    <t>Ricotta</t>
  </si>
  <si>
    <t>www.trschools.com</t>
  </si>
  <si>
    <t>Tuckerton Borough School District</t>
  </si>
  <si>
    <t>Gangemi</t>
  </si>
  <si>
    <t>jgangemi2@tesnj.com</t>
  </si>
  <si>
    <t>217 Marine Street</t>
  </si>
  <si>
    <t>Tuckerton</t>
  </si>
  <si>
    <t>PO Box 213</t>
  </si>
  <si>
    <t>609-294-2682</t>
  </si>
  <si>
    <t>Malley</t>
  </si>
  <si>
    <t>www.tesnj.com</t>
  </si>
  <si>
    <t>PASSAIC</t>
  </si>
  <si>
    <t>Bloomingdale School District</t>
  </si>
  <si>
    <t>225 Glenwild Avenue</t>
  </si>
  <si>
    <t>Bloomingdale</t>
  </si>
  <si>
    <t>973-492-2000 x6510</t>
  </si>
  <si>
    <t>www.bloomingdaleschools.org</t>
  </si>
  <si>
    <t>Classical Academy Charter School of Clifton</t>
  </si>
  <si>
    <t>Semegran</t>
  </si>
  <si>
    <t>psemegran@classicalacademy.org</t>
  </si>
  <si>
    <t>1255 Main Ave</t>
  </si>
  <si>
    <t>Clifton</t>
  </si>
  <si>
    <t>973-278-7707</t>
  </si>
  <si>
    <t>www.classicalacademy.org</t>
  </si>
  <si>
    <t>Clifton Public School District</t>
  </si>
  <si>
    <t>Danny</t>
  </si>
  <si>
    <t>Robertozzi</t>
  </si>
  <si>
    <t>drobertozzi@cliftonschools.net</t>
  </si>
  <si>
    <t>745 Clifton Avenue</t>
  </si>
  <si>
    <t>973-470-2260</t>
  </si>
  <si>
    <t>Ucci</t>
  </si>
  <si>
    <t>Rotolo</t>
  </si>
  <si>
    <t>Gengaro</t>
  </si>
  <si>
    <t>Janina</t>
  </si>
  <si>
    <t>Kusielewicz</t>
  </si>
  <si>
    <t>Mountain</t>
  </si>
  <si>
    <t>www.clifton.k12.nj.us/</t>
  </si>
  <si>
    <t>College Achieve Paterson Charter School</t>
  </si>
  <si>
    <t>Gemar</t>
  </si>
  <si>
    <t>Mills</t>
  </si>
  <si>
    <t>gmills@collegeachieve.org</t>
  </si>
  <si>
    <t>21 Market Street</t>
  </si>
  <si>
    <t>Paterson</t>
  </si>
  <si>
    <t>788 Shrewsbury Ave</t>
  </si>
  <si>
    <t>862-257-1423</t>
  </si>
  <si>
    <t>Kiakoma</t>
  </si>
  <si>
    <t>Roberts</t>
  </si>
  <si>
    <t>Kanifa</t>
  </si>
  <si>
    <t>Dobson</t>
  </si>
  <si>
    <t>collegeachievepaterson.org</t>
  </si>
  <si>
    <t>Community Charter School of Paterson</t>
  </si>
  <si>
    <t>Palmore</t>
  </si>
  <si>
    <t>75 Spruce St</t>
  </si>
  <si>
    <t>07501-1720</t>
  </si>
  <si>
    <t>973-413-2057 x1129</t>
  </si>
  <si>
    <t>Olubenga</t>
  </si>
  <si>
    <t>Iver</t>
  </si>
  <si>
    <t>Peterson</t>
  </si>
  <si>
    <t>Hagmueller</t>
  </si>
  <si>
    <t>Gareth</t>
  </si>
  <si>
    <t>Daley</t>
  </si>
  <si>
    <t>www.ccsp.org</t>
  </si>
  <si>
    <t>Haledon Public School District</t>
  </si>
  <si>
    <t>Wacha</t>
  </si>
  <si>
    <t>cwacha@haledon.org</t>
  </si>
  <si>
    <t>91 Henry Street</t>
  </si>
  <si>
    <t>Haledon</t>
  </si>
  <si>
    <t>973-790-9000</t>
  </si>
  <si>
    <t>Serapiglia</t>
  </si>
  <si>
    <t>Maribel</t>
  </si>
  <si>
    <t>Queli</t>
  </si>
  <si>
    <t>Barnhill</t>
  </si>
  <si>
    <t>www.haledon.org</t>
  </si>
  <si>
    <t>Hawthorne Public School District</t>
  </si>
  <si>
    <t>Spirito</t>
  </si>
  <si>
    <t>rspirito@hawthorne.k12.nj.us</t>
  </si>
  <si>
    <t>445 Lafayette Avenue</t>
  </si>
  <si>
    <t>Hawthorne</t>
  </si>
  <si>
    <t>973-427-1300 x2088</t>
  </si>
  <si>
    <t>Trude</t>
  </si>
  <si>
    <t>Engle</t>
  </si>
  <si>
    <t>Pignatello</t>
  </si>
  <si>
    <t>Wegert</t>
  </si>
  <si>
    <t>Trabona</t>
  </si>
  <si>
    <t>Brislin</t>
  </si>
  <si>
    <t>www.hawthorne.k12.nj.us</t>
  </si>
  <si>
    <t>John P Holland Charter School</t>
  </si>
  <si>
    <t>Scano</t>
  </si>
  <si>
    <t>cscano@johnpholland.com</t>
  </si>
  <si>
    <t>190 Oliver Street</t>
  </si>
  <si>
    <t>973-345-2212</t>
  </si>
  <si>
    <t>Vilchez</t>
  </si>
  <si>
    <t>Shupak</t>
  </si>
  <si>
    <t>Giuseppe</t>
  </si>
  <si>
    <t>Lepiani</t>
  </si>
  <si>
    <t>Hue</t>
  </si>
  <si>
    <t>www.jphcs.org</t>
  </si>
  <si>
    <t>Lakeland Regional High School District</t>
  </si>
  <si>
    <t>Hugh</t>
  </si>
  <si>
    <t>Beattie</t>
  </si>
  <si>
    <t>hbeattie@lakeland.k12.nj.us</t>
  </si>
  <si>
    <t>205 Conklintown Road</t>
  </si>
  <si>
    <t>Wanaque</t>
  </si>
  <si>
    <t>07465-2198</t>
  </si>
  <si>
    <t>973-835-1900 x118</t>
  </si>
  <si>
    <t>Audrey</t>
  </si>
  <si>
    <t>Poggioli</t>
  </si>
  <si>
    <t>McCurnin</t>
  </si>
  <si>
    <t>Bochkay</t>
  </si>
  <si>
    <t>www.lakeland.k12.nj.us</t>
  </si>
  <si>
    <t>Little Falls Township Public School District</t>
  </si>
  <si>
    <t>Marinelli</t>
  </si>
  <si>
    <t>tmarinelli@lfschools.org</t>
  </si>
  <si>
    <t>Little Falls School # 3</t>
  </si>
  <si>
    <t xml:space="preserve">560 Main Street </t>
  </si>
  <si>
    <t>Little Falls</t>
  </si>
  <si>
    <t>07424-1082</t>
  </si>
  <si>
    <t>560 Main Street</t>
  </si>
  <si>
    <t>973-256-1034</t>
  </si>
  <si>
    <t>Daura</t>
  </si>
  <si>
    <t>Schoeneich</t>
  </si>
  <si>
    <t>Dilkes</t>
  </si>
  <si>
    <t>Tavaris</t>
  </si>
  <si>
    <t>www.lfschools.org</t>
  </si>
  <si>
    <t>North Haledon School District</t>
  </si>
  <si>
    <t>ncoffaro@nhschools.net</t>
  </si>
  <si>
    <t>201 Squaw Brook Rd.</t>
  </si>
  <si>
    <t>North Haledon</t>
  </si>
  <si>
    <t>973-427-8993</t>
  </si>
  <si>
    <t>Andreniuk</t>
  </si>
  <si>
    <t>Jarlyn</t>
  </si>
  <si>
    <t>Veras</t>
  </si>
  <si>
    <t>Tait</t>
  </si>
  <si>
    <t>Buggeln</t>
  </si>
  <si>
    <t>www.nhschools.net</t>
  </si>
  <si>
    <t>Northern Region Educational Services Commission</t>
  </si>
  <si>
    <t>Vancheri</t>
  </si>
  <si>
    <t>nvancheri@nresc.org</t>
  </si>
  <si>
    <t>45 Reinhardt Road</t>
  </si>
  <si>
    <t>973-614-8585 x3811</t>
  </si>
  <si>
    <t>Giglio</t>
  </si>
  <si>
    <t>Bradford</t>
  </si>
  <si>
    <t>Haimowitz</t>
  </si>
  <si>
    <t>Zinn</t>
  </si>
  <si>
    <t>www.nresc.org</t>
  </si>
  <si>
    <t>Passaic Arts and Science Charter School</t>
  </si>
  <si>
    <t>7 St. Francis Way</t>
  </si>
  <si>
    <t>Passaic</t>
  </si>
  <si>
    <t>www.passaiccharter.org</t>
  </si>
  <si>
    <t>Passaic City School District</t>
  </si>
  <si>
    <t>Truppo</t>
  </si>
  <si>
    <t>jtruppo@passaicschools.org</t>
  </si>
  <si>
    <t>663 Main Avenue</t>
  </si>
  <si>
    <t>07055-4828</t>
  </si>
  <si>
    <t>P.O. Box 388</t>
  </si>
  <si>
    <t>973-470-5769</t>
  </si>
  <si>
    <t>Mayra</t>
  </si>
  <si>
    <t>Stefania</t>
  </si>
  <si>
    <t>Amanuel</t>
  </si>
  <si>
    <t>Teklu</t>
  </si>
  <si>
    <t>www.passaicschools.org/</t>
  </si>
  <si>
    <t>Passaic County Manchester Regional High School District</t>
  </si>
  <si>
    <t>Lubisco</t>
  </si>
  <si>
    <t>glubisco@mrhs.net</t>
  </si>
  <si>
    <t>70 CHURCH STREET</t>
  </si>
  <si>
    <t>HALEDON</t>
  </si>
  <si>
    <t>973-389-2841</t>
  </si>
  <si>
    <t>Brogan</t>
  </si>
  <si>
    <t>Pagani</t>
  </si>
  <si>
    <t>Dorn</t>
  </si>
  <si>
    <t>WWW.MRHS.NET</t>
  </si>
  <si>
    <t>Passaic County Vocational School District</t>
  </si>
  <si>
    <t>Maiello</t>
  </si>
  <si>
    <t>jmaiello@pcti.tec.nj.us</t>
  </si>
  <si>
    <t>07470-2210</t>
  </si>
  <si>
    <t>973-389-4201</t>
  </si>
  <si>
    <t>Jeannie</t>
  </si>
  <si>
    <t>Holman</t>
  </si>
  <si>
    <t>Boaz</t>
  </si>
  <si>
    <t>Laor</t>
  </si>
  <si>
    <t>Rubino</t>
  </si>
  <si>
    <t>McDaniel</t>
  </si>
  <si>
    <t>www.pcti.tec.nj.us</t>
  </si>
  <si>
    <t>Passaic Valley Regional High School District #1</t>
  </si>
  <si>
    <t>JoAnn</t>
  </si>
  <si>
    <t>Cardillo</t>
  </si>
  <si>
    <t>cardilloj@pvhs.k12.nj.us</t>
  </si>
  <si>
    <t>170 EAST  MAIN  STREET</t>
  </si>
  <si>
    <t>LITTLE FALLS</t>
  </si>
  <si>
    <t>973-890-2560</t>
  </si>
  <si>
    <t>Monahan</t>
  </si>
  <si>
    <t>Paternoster</t>
  </si>
  <si>
    <t>Dave</t>
  </si>
  <si>
    <t>Settembre</t>
  </si>
  <si>
    <t>Clementi</t>
  </si>
  <si>
    <t>www.pvhs.k12.nj.us</t>
  </si>
  <si>
    <t>Paterson Arts and Science Charter School</t>
  </si>
  <si>
    <t>225 Grand Street</t>
  </si>
  <si>
    <t>www.patersoncharter.org</t>
  </si>
  <si>
    <t>Paterson Charter School for Science and Technology</t>
  </si>
  <si>
    <t>Gurcanli</t>
  </si>
  <si>
    <t>riza.gurcanli@pcsst.org</t>
  </si>
  <si>
    <t>196 W Railway Ave</t>
  </si>
  <si>
    <t>973-247-0600</t>
  </si>
  <si>
    <t>Anar</t>
  </si>
  <si>
    <t>Hurisa</t>
  </si>
  <si>
    <t>Hawa</t>
  </si>
  <si>
    <t>Koroma</t>
  </si>
  <si>
    <t>Sakin</t>
  </si>
  <si>
    <t>Cebeci</t>
  </si>
  <si>
    <t>Necmi</t>
  </si>
  <si>
    <t>Coskun</t>
  </si>
  <si>
    <t>www.pcsst.org</t>
  </si>
  <si>
    <t>Paterson Public School District</t>
  </si>
  <si>
    <t>superintendent@paterson.k12.nj.us</t>
  </si>
  <si>
    <t>90 Delaware Avenue</t>
  </si>
  <si>
    <t>973-321-0980</t>
  </si>
  <si>
    <t>Matthews</t>
  </si>
  <si>
    <t>Coy</t>
  </si>
  <si>
    <t>Valentin</t>
  </si>
  <si>
    <t>Traina</t>
  </si>
  <si>
    <t>www.paterson.k12.nj.us</t>
  </si>
  <si>
    <t>Philip's Academy Charter School of Paterson</t>
  </si>
  <si>
    <t>Lauricella</t>
  </si>
  <si>
    <t>rlauricella@pacspaterson.org</t>
  </si>
  <si>
    <t>47 State Street</t>
  </si>
  <si>
    <t>973-247-8920</t>
  </si>
  <si>
    <t>Kohler</t>
  </si>
  <si>
    <t>Sappleton</t>
  </si>
  <si>
    <t>Valbrun</t>
  </si>
  <si>
    <t>www.pacspaterson.org</t>
  </si>
  <si>
    <t>Pompton Lakes School District</t>
  </si>
  <si>
    <t>Amoroso</t>
  </si>
  <si>
    <t>pamoroso@plps.org</t>
  </si>
  <si>
    <t>237 VAN AVENUE</t>
  </si>
  <si>
    <t>POMPTON LAKES</t>
  </si>
  <si>
    <t>973-835-7100 x1508</t>
  </si>
  <si>
    <t>Spasevski</t>
  </si>
  <si>
    <t>Jen</t>
  </si>
  <si>
    <t>Zeoli</t>
  </si>
  <si>
    <t>Weishaupt</t>
  </si>
  <si>
    <t>Tanis</t>
  </si>
  <si>
    <t>Hazell</t>
  </si>
  <si>
    <t>Jake</t>
  </si>
  <si>
    <t>Herninko</t>
  </si>
  <si>
    <t>www.plps-k12.org/</t>
  </si>
  <si>
    <t>Prospect Park Public School District</t>
  </si>
  <si>
    <t>Angermeyer</t>
  </si>
  <si>
    <t>aangermeyer@prospectparknj.com</t>
  </si>
  <si>
    <t>94 Brown Avenue</t>
  </si>
  <si>
    <t>Prospect Park</t>
  </si>
  <si>
    <t>973-720-1981</t>
  </si>
  <si>
    <t>DArrigo</t>
  </si>
  <si>
    <t>Altisha</t>
  </si>
  <si>
    <t>Byrd</t>
  </si>
  <si>
    <t>Waibel</t>
  </si>
  <si>
    <t>Robertini</t>
  </si>
  <si>
    <t>Dessources</t>
  </si>
  <si>
    <t>D'Arrigo</t>
  </si>
  <si>
    <t>www.prospectparknj.com</t>
  </si>
  <si>
    <t>Ringwood School District</t>
  </si>
  <si>
    <t>Bernice</t>
  </si>
  <si>
    <t>bernice@njrps.org</t>
  </si>
  <si>
    <t>121 Carletondale Road</t>
  </si>
  <si>
    <t>Ringwood</t>
  </si>
  <si>
    <t>973-962-7028 x1</t>
  </si>
  <si>
    <t>Rapp</t>
  </si>
  <si>
    <t>Fiedeldey</t>
  </si>
  <si>
    <t>Erler</t>
  </si>
  <si>
    <t>Acosta</t>
  </si>
  <si>
    <t>www.njrps.org</t>
  </si>
  <si>
    <t>Totowa Public School District</t>
  </si>
  <si>
    <t>Capitelli</t>
  </si>
  <si>
    <t>patricia.capitelli@totowa.k12.nj.us</t>
  </si>
  <si>
    <t>294 Totowa Road</t>
  </si>
  <si>
    <t>Totowa</t>
  </si>
  <si>
    <t>973-956-0010 x2001</t>
  </si>
  <si>
    <t>Varcadipane</t>
  </si>
  <si>
    <t>Terranova</t>
  </si>
  <si>
    <t>Kruzel</t>
  </si>
  <si>
    <t>Alvin</t>
  </si>
  <si>
    <t>Cheng</t>
  </si>
  <si>
    <t>www.totowa.k12.nj.us</t>
  </si>
  <si>
    <t>Wanaque School District</t>
  </si>
  <si>
    <t>rmooney@wanaqueps.org</t>
  </si>
  <si>
    <t>973A Ringwood Avenue</t>
  </si>
  <si>
    <t>Haskell</t>
  </si>
  <si>
    <t>07420-1322</t>
  </si>
  <si>
    <t>973-835-8200</t>
  </si>
  <si>
    <t>DiBartolo</t>
  </si>
  <si>
    <t>Marlene</t>
  </si>
  <si>
    <t>Yanuzzi</t>
  </si>
  <si>
    <t>Puzzo</t>
  </si>
  <si>
    <t>Nash</t>
  </si>
  <si>
    <t>Fernando</t>
  </si>
  <si>
    <t>Hache</t>
  </si>
  <si>
    <t>Frick</t>
  </si>
  <si>
    <t>www.wanaqueps.org</t>
  </si>
  <si>
    <t>Wayne Township Public School District</t>
  </si>
  <si>
    <t>TOBACK</t>
  </si>
  <si>
    <t>mtoback@wayneschools.com</t>
  </si>
  <si>
    <t>50 NELLIS DRIVE</t>
  </si>
  <si>
    <t>WAYNE</t>
  </si>
  <si>
    <t>973-633-3032</t>
  </si>
  <si>
    <t>WILLIAM</t>
  </si>
  <si>
    <t>MOFFITT</t>
  </si>
  <si>
    <t>SIR</t>
  </si>
  <si>
    <t>SCOT</t>
  </si>
  <si>
    <t>BURKHOLDER</t>
  </si>
  <si>
    <t>JOSEPH</t>
  </si>
  <si>
    <t>BORCHARD</t>
  </si>
  <si>
    <t>Blanchard</t>
  </si>
  <si>
    <t>www.wayneschools.com</t>
  </si>
  <si>
    <t>West Milford Township Public School District</t>
  </si>
  <si>
    <t>Anemone</t>
  </si>
  <si>
    <t>alex.anemone@wmtps.org</t>
  </si>
  <si>
    <t>46 Highlander Drive</t>
  </si>
  <si>
    <t>West Milford</t>
  </si>
  <si>
    <t>973-697-1700 x5030</t>
  </si>
  <si>
    <t>McQuaid</t>
  </si>
  <si>
    <t>Rowe</t>
  </si>
  <si>
    <t>Matlosz</t>
  </si>
  <si>
    <t>www.wmtps.org</t>
  </si>
  <si>
    <t>Woodland Park School District</t>
  </si>
  <si>
    <t>Pillari</t>
  </si>
  <si>
    <t>mpillari@wpschools.org</t>
  </si>
  <si>
    <t>853 McBride Avenue</t>
  </si>
  <si>
    <t>Woodland Park</t>
  </si>
  <si>
    <t>973-317-7710</t>
  </si>
  <si>
    <t>Confrancisco</t>
  </si>
  <si>
    <t>Triglia</t>
  </si>
  <si>
    <t>Cielo</t>
  </si>
  <si>
    <t>Barreto</t>
  </si>
  <si>
    <t>www.wpschools.org</t>
  </si>
  <si>
    <t>SALEM</t>
  </si>
  <si>
    <t>Alloway Twp School District</t>
  </si>
  <si>
    <t>Crispin</t>
  </si>
  <si>
    <t>crispins@allowayschool.org</t>
  </si>
  <si>
    <t>43 Cedar Street</t>
  </si>
  <si>
    <t>ALLOWAY</t>
  </si>
  <si>
    <t>PO BOX 327</t>
  </si>
  <si>
    <t>856-935-1622</t>
  </si>
  <si>
    <t>DuBois-Brody</t>
  </si>
  <si>
    <t>Gioielli</t>
  </si>
  <si>
    <t>Shari</t>
  </si>
  <si>
    <t>Rupertus</t>
  </si>
  <si>
    <t>www.allowayschool.org</t>
  </si>
  <si>
    <t>Creativity CoLaboratory Charter School</t>
  </si>
  <si>
    <t>lthomas@c3school.org</t>
  </si>
  <si>
    <t>457 Shirley Road</t>
  </si>
  <si>
    <t>Elmer</t>
  </si>
  <si>
    <t>P.O. Box 888</t>
  </si>
  <si>
    <t>Tunis</t>
  </si>
  <si>
    <t>https://www.appelfarm.org/creativity-colaboratory-charter-school/</t>
  </si>
  <si>
    <t>Elsinboro Township School District</t>
  </si>
  <si>
    <t>McAllister</t>
  </si>
  <si>
    <t>cmcallister@elsinboroschool.org</t>
  </si>
  <si>
    <t>631 Salem-Ft. Elfsborg Rd.</t>
  </si>
  <si>
    <t>Salem</t>
  </si>
  <si>
    <t>856-935-3817</t>
  </si>
  <si>
    <t>Granate</t>
  </si>
  <si>
    <t>Laural</t>
  </si>
  <si>
    <t>Kretzer</t>
  </si>
  <si>
    <t>www.elsinboroschool.org</t>
  </si>
  <si>
    <t>Mannington Township School District</t>
  </si>
  <si>
    <t>kwilliams@manningtonschool.org</t>
  </si>
  <si>
    <t>495 Route 45</t>
  </si>
  <si>
    <t>856-935-1078</t>
  </si>
  <si>
    <t>Mathews</t>
  </si>
  <si>
    <t>Jody</t>
  </si>
  <si>
    <t>Viereck</t>
  </si>
  <si>
    <t>Tilton</t>
  </si>
  <si>
    <t>manningtonschool.org</t>
  </si>
  <si>
    <t>Oldmans Township School District</t>
  </si>
  <si>
    <t>asmith@oldmans.org</t>
  </si>
  <si>
    <t>10 FREED ROAD</t>
  </si>
  <si>
    <t>PEDRICKTOWN</t>
  </si>
  <si>
    <t>10 Freed Rd.</t>
  </si>
  <si>
    <t>Pedricktown</t>
  </si>
  <si>
    <t>856-299-4240</t>
  </si>
  <si>
    <t>Zook</t>
  </si>
  <si>
    <t>Turpin</t>
  </si>
  <si>
    <t>WWW.OLDMANS.ORG</t>
  </si>
  <si>
    <t>Penns Grove-Carneys Point Regional School District</t>
  </si>
  <si>
    <t>Zenaida</t>
  </si>
  <si>
    <t>Cobian</t>
  </si>
  <si>
    <t>zcobian@pgcpschools.org</t>
  </si>
  <si>
    <t>100 Iona Avenue</t>
  </si>
  <si>
    <t>Penns Grove</t>
  </si>
  <si>
    <t>856-299-4250  x1120</t>
  </si>
  <si>
    <t>DeStratis</t>
  </si>
  <si>
    <t>Sage</t>
  </si>
  <si>
    <t>Charlyn</t>
  </si>
  <si>
    <t>Ostroff</t>
  </si>
  <si>
    <t>Mangino</t>
  </si>
  <si>
    <t>www.pgcpschools.org</t>
  </si>
  <si>
    <t>Pennsville School District</t>
  </si>
  <si>
    <t>Brodzik</t>
  </si>
  <si>
    <t>mbrodzik@pv-eagles.org</t>
  </si>
  <si>
    <t>30 CHURCH STREET</t>
  </si>
  <si>
    <t>PENNSVILLE</t>
  </si>
  <si>
    <t>08070-2199</t>
  </si>
  <si>
    <t>856-540-6200 X7118</t>
  </si>
  <si>
    <t>Mayhew</t>
  </si>
  <si>
    <t>Gibau</t>
  </si>
  <si>
    <t>Palmucci</t>
  </si>
  <si>
    <t>Jamy</t>
  </si>
  <si>
    <t>Bonowski</t>
  </si>
  <si>
    <t>Slusher</t>
  </si>
  <si>
    <t>www.psdnet.org</t>
  </si>
  <si>
    <t>Pittsgrove Township School District</t>
  </si>
  <si>
    <t>mcarey@pittsgrove.net</t>
  </si>
  <si>
    <t>1076 ALMOND ROAD</t>
  </si>
  <si>
    <t>PITTSGROVE</t>
  </si>
  <si>
    <t>856-358-3094 x4016</t>
  </si>
  <si>
    <t>Romolini</t>
  </si>
  <si>
    <t>Gabrielle</t>
  </si>
  <si>
    <t>Chinnici-Heyel</t>
  </si>
  <si>
    <t>Stefanie</t>
  </si>
  <si>
    <t>Fox Manno</t>
  </si>
  <si>
    <t>Munafo</t>
  </si>
  <si>
    <t>Volovar</t>
  </si>
  <si>
    <t>www.pittsgrove.net</t>
  </si>
  <si>
    <t>Quinton Township School District</t>
  </si>
  <si>
    <t>spotter@quintonschool.info</t>
  </si>
  <si>
    <t>8 ROBINSON STREET</t>
  </si>
  <si>
    <t xml:space="preserve">PO BOX 365 </t>
  </si>
  <si>
    <t>QUINTON</t>
  </si>
  <si>
    <t>PO BOX 365</t>
  </si>
  <si>
    <t>856-935-2379</t>
  </si>
  <si>
    <t>Bonora</t>
  </si>
  <si>
    <t>Mindy</t>
  </si>
  <si>
    <t>Bacon</t>
  </si>
  <si>
    <t>www.quintonschool.info</t>
  </si>
  <si>
    <t>Salem City School District</t>
  </si>
  <si>
    <t>Amiot</t>
  </si>
  <si>
    <t>Michel</t>
  </si>
  <si>
    <t>michel@salemnj.org</t>
  </si>
  <si>
    <t>205 WALNUT ST</t>
  </si>
  <si>
    <t>856-935-3800 x4220</t>
  </si>
  <si>
    <t>Schectman</t>
  </si>
  <si>
    <t>Meaghan</t>
  </si>
  <si>
    <t>DelRossi</t>
  </si>
  <si>
    <t>Doubet</t>
  </si>
  <si>
    <t>www.SALEMNJ.ORG</t>
  </si>
  <si>
    <t>Salem County Special Services School District</t>
  </si>
  <si>
    <t>Swain</t>
  </si>
  <si>
    <t>jswain@scsssd.net</t>
  </si>
  <si>
    <t>880 Route 45</t>
  </si>
  <si>
    <t xml:space="preserve">PO Box 126 </t>
  </si>
  <si>
    <t>Woodstown</t>
  </si>
  <si>
    <t>PO Box 126</t>
  </si>
  <si>
    <t>856-769-0101 x5301</t>
  </si>
  <si>
    <t>Maurer</t>
  </si>
  <si>
    <t>Shachara</t>
  </si>
  <si>
    <t>scsssd.org</t>
  </si>
  <si>
    <t>Salem County Vocational Technical School District</t>
  </si>
  <si>
    <t>jswain@scvts.org</t>
  </si>
  <si>
    <t>880 Rt 45</t>
  </si>
  <si>
    <t xml:space="preserve">Box 350 </t>
  </si>
  <si>
    <t>08098-0350</t>
  </si>
  <si>
    <t>Box 350</t>
  </si>
  <si>
    <t>Bates</t>
  </si>
  <si>
    <t>Whittinghill</t>
  </si>
  <si>
    <t>www.scvts.org</t>
  </si>
  <si>
    <t>The Lower Alloways Creek School District</t>
  </si>
  <si>
    <t>sschaffer@lacschool.org</t>
  </si>
  <si>
    <t>967 Main Street - Canton</t>
  </si>
  <si>
    <t>856-935-2707 x210</t>
  </si>
  <si>
    <t>Mckee</t>
  </si>
  <si>
    <t>www.lacschool.org</t>
  </si>
  <si>
    <t>UPPER PITTSGROVE TWP School District</t>
  </si>
  <si>
    <t>Eckstein</t>
  </si>
  <si>
    <t>seckstein@upsmailbox.net</t>
  </si>
  <si>
    <t>235 Pine Tavern Rd.</t>
  </si>
  <si>
    <t>Monroeville</t>
  </si>
  <si>
    <t>856-358-8163 x1000</t>
  </si>
  <si>
    <t>McFarland</t>
  </si>
  <si>
    <t>Sciorillo</t>
  </si>
  <si>
    <t>http://upperpitts.org/</t>
  </si>
  <si>
    <t>Woodstown-Pilesgrove Regional School District</t>
  </si>
  <si>
    <t>Virginia</t>
  </si>
  <si>
    <t>Grossman</t>
  </si>
  <si>
    <t>grossman.v@woodstown.org</t>
  </si>
  <si>
    <t>135 East Avenue</t>
  </si>
  <si>
    <t>856-769-0144 x22252</t>
  </si>
  <si>
    <t>Chin</t>
  </si>
  <si>
    <t>Karlyle</t>
  </si>
  <si>
    <t>www.woodstown.org</t>
  </si>
  <si>
    <t>SOMERSET</t>
  </si>
  <si>
    <t>Bedminster Township Public School District</t>
  </si>
  <si>
    <t>jgiordano@bedminsterschool.org</t>
  </si>
  <si>
    <t>234 Somerville Road</t>
  </si>
  <si>
    <t>Bedminster</t>
  </si>
  <si>
    <t>908-234-0768 x200</t>
  </si>
  <si>
    <t>Eulalia</t>
  </si>
  <si>
    <t>Zugale</t>
  </si>
  <si>
    <t>Omegna</t>
  </si>
  <si>
    <t>Pickett</t>
  </si>
  <si>
    <t>Corby</t>
  </si>
  <si>
    <t>Swan</t>
  </si>
  <si>
    <t>www.bedminsterschool.org</t>
  </si>
  <si>
    <t>Bernards Township School District</t>
  </si>
  <si>
    <t>Markarian</t>
  </si>
  <si>
    <t>nmarkarian@bernardsboe.com</t>
  </si>
  <si>
    <t>101 Peachtree Road</t>
  </si>
  <si>
    <t>Basking Ridge</t>
  </si>
  <si>
    <t>908-204-2600 x101</t>
  </si>
  <si>
    <t>Rod</t>
  </si>
  <si>
    <t>O Connell</t>
  </si>
  <si>
    <t>Siet</t>
  </si>
  <si>
    <t>Blinder</t>
  </si>
  <si>
    <t>Hank</t>
  </si>
  <si>
    <t>www.bernardsboe.com</t>
  </si>
  <si>
    <t>Bound Brook School District</t>
  </si>
  <si>
    <t>dgallagher@bbrook.k12.nj.us</t>
  </si>
  <si>
    <t>130 West Maple Ave</t>
  </si>
  <si>
    <t>Bound Brook</t>
  </si>
  <si>
    <t>732-652-7920</t>
  </si>
  <si>
    <t>Mormile</t>
  </si>
  <si>
    <t>Iskren</t>
  </si>
  <si>
    <t>Milanov</t>
  </si>
  <si>
    <t>Dominic</t>
  </si>
  <si>
    <t>www.bbrook.org</t>
  </si>
  <si>
    <t>Branchburg Township School District</t>
  </si>
  <si>
    <t>Gensel</t>
  </si>
  <si>
    <t>rgensel@branchburg.k12.nj.us</t>
  </si>
  <si>
    <t>240 Baird Road</t>
  </si>
  <si>
    <t>Branchburg</t>
  </si>
  <si>
    <t>908-722-3335 x4730</t>
  </si>
  <si>
    <t>Linskey</t>
  </si>
  <si>
    <t>Schaefer</t>
  </si>
  <si>
    <t>Barbosa</t>
  </si>
  <si>
    <t>www.branchburg.k12.nj.us</t>
  </si>
  <si>
    <t>Bridgewater-Raritan Regional School District</t>
  </si>
  <si>
    <t>Ficarra</t>
  </si>
  <si>
    <t>tficarra@brrsd.org</t>
  </si>
  <si>
    <t>836 Newmans Lane</t>
  </si>
  <si>
    <t>Martinsville</t>
  </si>
  <si>
    <t>P.O. Box 6030</t>
  </si>
  <si>
    <t>Bridgewater</t>
  </si>
  <si>
    <t>908-685-2777 x 3201</t>
  </si>
  <si>
    <t>Starrs</t>
  </si>
  <si>
    <t>Iachini</t>
  </si>
  <si>
    <t>Angelina</t>
  </si>
  <si>
    <t>Pecoraro</t>
  </si>
  <si>
    <t>Fonder</t>
  </si>
  <si>
    <t>www.brrsd.org</t>
  </si>
  <si>
    <t>Central Jersey College Prep Charter School</t>
  </si>
  <si>
    <t>nsercan@cjcollegeprep.org</t>
  </si>
  <si>
    <t>101 Mettlers Road</t>
  </si>
  <si>
    <t>Somerset</t>
  </si>
  <si>
    <t>08873-1235</t>
  </si>
  <si>
    <t>Tasha</t>
  </si>
  <si>
    <t>Mosconi</t>
  </si>
  <si>
    <t>Leontaris</t>
  </si>
  <si>
    <t>Cekic</t>
  </si>
  <si>
    <t>www.cjcollegeprep.org</t>
  </si>
  <si>
    <t>Franklin Township Public School District</t>
  </si>
  <si>
    <t>Ravally</t>
  </si>
  <si>
    <t>jravally@franklinboe.org</t>
  </si>
  <si>
    <t>2301 Route 27</t>
  </si>
  <si>
    <t>732-873-2400 x 312</t>
  </si>
  <si>
    <t>Toth</t>
  </si>
  <si>
    <t>Sofield</t>
  </si>
  <si>
    <t>Orvyl</t>
  </si>
  <si>
    <t>Washington</t>
  </si>
  <si>
    <t>Knechel</t>
  </si>
  <si>
    <t>www.franklinboe.org</t>
  </si>
  <si>
    <t>Green Brook Township Public School District</t>
  </si>
  <si>
    <t>Bigsby</t>
  </si>
  <si>
    <t>jbigsby@gbtps.org</t>
  </si>
  <si>
    <t>132 Jefferson Avenue</t>
  </si>
  <si>
    <t>Green Brook</t>
  </si>
  <si>
    <t>08812-2608</t>
  </si>
  <si>
    <t>732-968-1171  x1020</t>
  </si>
  <si>
    <t>Crista</t>
  </si>
  <si>
    <t>Fenton</t>
  </si>
  <si>
    <t>Subervi</t>
  </si>
  <si>
    <t>www.gbtps.org</t>
  </si>
  <si>
    <t>Hillsborough Township Public School District</t>
  </si>
  <si>
    <t>Antunes</t>
  </si>
  <si>
    <t>lantunes@htps.us</t>
  </si>
  <si>
    <t>379 South Branch Road</t>
  </si>
  <si>
    <t>Hillsborough</t>
  </si>
  <si>
    <t>908-431-6600 x2002</t>
  </si>
  <si>
    <t>Aiman</t>
  </si>
  <si>
    <t>Mahmoud</t>
  </si>
  <si>
    <t>Suzan</t>
  </si>
  <si>
    <t>Radwan</t>
  </si>
  <si>
    <t>Smedley</t>
  </si>
  <si>
    <t>Feltre</t>
  </si>
  <si>
    <t>Handler</t>
  </si>
  <si>
    <t>www.htps.us</t>
  </si>
  <si>
    <t>Manville School District</t>
  </si>
  <si>
    <t>Beers</t>
  </si>
  <si>
    <t>rbeers@manvillesd.org</t>
  </si>
  <si>
    <t>1100 Brooks Boulevard</t>
  </si>
  <si>
    <t>Manville</t>
  </si>
  <si>
    <t>908-231-8545</t>
  </si>
  <si>
    <t>Bogart</t>
  </si>
  <si>
    <t>D'Amato</t>
  </si>
  <si>
    <t>Jamil</t>
  </si>
  <si>
    <t>Maroun</t>
  </si>
  <si>
    <t>Venuto</t>
  </si>
  <si>
    <t>www.manvilleschools.org</t>
  </si>
  <si>
    <t>Montgomery Township School District</t>
  </si>
  <si>
    <t>McLoughlin</t>
  </si>
  <si>
    <t>mmcloughlin@mtsd.us</t>
  </si>
  <si>
    <t>1014 Route 601</t>
  </si>
  <si>
    <t>Skillman</t>
  </si>
  <si>
    <t>609-466-7600 x7355</t>
  </si>
  <si>
    <t>Schauer</t>
  </si>
  <si>
    <t>Pappa</t>
  </si>
  <si>
    <t>Wain</t>
  </si>
  <si>
    <t>www.mtsd.k12.nj.us</t>
  </si>
  <si>
    <t>North Plainfield School District</t>
  </si>
  <si>
    <t>michelle_aquino@nplainfield.org</t>
  </si>
  <si>
    <t>33 Mountain Avenue</t>
  </si>
  <si>
    <t>North Plainfield</t>
  </si>
  <si>
    <t>07060-4075</t>
  </si>
  <si>
    <t>908-769-6060 X 6104</t>
  </si>
  <si>
    <t>Hinman</t>
  </si>
  <si>
    <t>Tarnofsky</t>
  </si>
  <si>
    <t>Lucas</t>
  </si>
  <si>
    <t>Darrell</t>
  </si>
  <si>
    <t>Lake</t>
  </si>
  <si>
    <t>www.nplainfield.org</t>
  </si>
  <si>
    <t>Somerset County Educational Services Commission School Distr</t>
  </si>
  <si>
    <t>Dunsavage</t>
  </si>
  <si>
    <t>jhall@somersetcountyesc.org</t>
  </si>
  <si>
    <t>991 Route 22 West, Ste 301</t>
  </si>
  <si>
    <t>908-707-0070 x700</t>
  </si>
  <si>
    <t>Siipola</t>
  </si>
  <si>
    <t>Monteiro</t>
  </si>
  <si>
    <t>Myrick</t>
  </si>
  <si>
    <t>Heywood</t>
  </si>
  <si>
    <t>Kerr</t>
  </si>
  <si>
    <t>www.somersetcountyesc.org</t>
  </si>
  <si>
    <t>Somerset County Vocational and Technical School District</t>
  </si>
  <si>
    <t>Chrys</t>
  </si>
  <si>
    <t>Harttraft</t>
  </si>
  <si>
    <t>charttraft@scvts.net</t>
  </si>
  <si>
    <t>14 Vogt Drive</t>
  </si>
  <si>
    <t>P.O. Box 6350</t>
  </si>
  <si>
    <t>908-526-8900 x7212</t>
  </si>
  <si>
    <t>Raelene</t>
  </si>
  <si>
    <t>Sipple</t>
  </si>
  <si>
    <t>Pelliccia</t>
  </si>
  <si>
    <t>Eberhardt</t>
  </si>
  <si>
    <t>www.scvths.org</t>
  </si>
  <si>
    <t>Somerset Hills Regional School District</t>
  </si>
  <si>
    <t>Gretchen</t>
  </si>
  <si>
    <t>Dempsey</t>
  </si>
  <si>
    <t>gdempsey@shsd.org</t>
  </si>
  <si>
    <t>25 Olcott Avenue</t>
  </si>
  <si>
    <t>Bernardsville</t>
  </si>
  <si>
    <t>908-630-3011</t>
  </si>
  <si>
    <t>Jinnee</t>
  </si>
  <si>
    <t>Koransky</t>
  </si>
  <si>
    <t>Edgerton</t>
  </si>
  <si>
    <t>http://www.shsd.org/</t>
  </si>
  <si>
    <t>Somerville Public School District</t>
  </si>
  <si>
    <t>Teehan</t>
  </si>
  <si>
    <t>superintendent@somervilleschools.org</t>
  </si>
  <si>
    <t>51 West Cliff St.</t>
  </si>
  <si>
    <t>Somerville</t>
  </si>
  <si>
    <t>908-243-1530</t>
  </si>
  <si>
    <t>Mulligan</t>
  </si>
  <si>
    <t>McEntee</t>
  </si>
  <si>
    <t>www.somervillenjk12.org</t>
  </si>
  <si>
    <t>South Bound Brook Public School District</t>
  </si>
  <si>
    <t>Lorise</t>
  </si>
  <si>
    <t>Goeke</t>
  </si>
  <si>
    <t>goeke@southboundbrookk8.org</t>
  </si>
  <si>
    <t>122 Elizabeth Street</t>
  </si>
  <si>
    <t>South Bound Brook</t>
  </si>
  <si>
    <t>732-356-3018x315</t>
  </si>
  <si>
    <t>Leonaggeo</t>
  </si>
  <si>
    <t>Butynes</t>
  </si>
  <si>
    <t>Libitz</t>
  </si>
  <si>
    <t>www.southboundbrookk8.org</t>
  </si>
  <si>
    <t>Thomas Edison EnergySmart Charter School</t>
  </si>
  <si>
    <t>Oguz</t>
  </si>
  <si>
    <t>Yildiz</t>
  </si>
  <si>
    <t>oyildiz@energysmartschool.org</t>
  </si>
  <si>
    <t>150 Pierce Street</t>
  </si>
  <si>
    <t>732-412-7643</t>
  </si>
  <si>
    <t>Ilgar</t>
  </si>
  <si>
    <t>Sadigov</t>
  </si>
  <si>
    <t>Raja</t>
  </si>
  <si>
    <t>Govindaraju</t>
  </si>
  <si>
    <t>Abdurrahman</t>
  </si>
  <si>
    <t>Yucel</t>
  </si>
  <si>
    <t>Aydos</t>
  </si>
  <si>
    <t>www.teecs.org</t>
  </si>
  <si>
    <t>Warren Township School District</t>
  </si>
  <si>
    <t>Mingle</t>
  </si>
  <si>
    <t>mmingle@warrentboe.org</t>
  </si>
  <si>
    <t>213 Mt. Horeb Road</t>
  </si>
  <si>
    <t>07059-5628</t>
  </si>
  <si>
    <t>908-753-5300</t>
  </si>
  <si>
    <t>Leonhardt</t>
  </si>
  <si>
    <t>Ressa</t>
  </si>
  <si>
    <t>Kimmick</t>
  </si>
  <si>
    <t>Lance</t>
  </si>
  <si>
    <t>Riegler</t>
  </si>
  <si>
    <t>www.warrentboe.org</t>
  </si>
  <si>
    <t>Watchung Borough School District</t>
  </si>
  <si>
    <t>galexis@watchungschools.us</t>
  </si>
  <si>
    <t>1 Dr. Parenty Way</t>
  </si>
  <si>
    <t>Watchung</t>
  </si>
  <si>
    <t>908-755-8121</t>
  </si>
  <si>
    <t>Rich</t>
  </si>
  <si>
    <t>Pepe</t>
  </si>
  <si>
    <t>DiTota</t>
  </si>
  <si>
    <t>Karin</t>
  </si>
  <si>
    <t>Kidd</t>
  </si>
  <si>
    <t>Emanual</t>
  </si>
  <si>
    <t>Aranguren</t>
  </si>
  <si>
    <t>www.watchungschools.com</t>
  </si>
  <si>
    <t>Watchung Hills Regional High School District</t>
  </si>
  <si>
    <t>Scheiderman</t>
  </si>
  <si>
    <t>bscheiderman@whrhs.org</t>
  </si>
  <si>
    <t>108 Stirling Road</t>
  </si>
  <si>
    <t>07059-5000</t>
  </si>
  <si>
    <t>908-647-4800 x4890</t>
  </si>
  <si>
    <t>Stys</t>
  </si>
  <si>
    <t>Deremer</t>
  </si>
  <si>
    <t>Searfoss</t>
  </si>
  <si>
    <t>D'Alessio</t>
  </si>
  <si>
    <t>Meluso</t>
  </si>
  <si>
    <t>www.whrhs.org</t>
  </si>
  <si>
    <t>SUSSEX</t>
  </si>
  <si>
    <t>Andover Regional School District</t>
  </si>
  <si>
    <t>dtobin@andoverregional.org</t>
  </si>
  <si>
    <t>707 Limecrest Rd.</t>
  </si>
  <si>
    <t>Newton,</t>
  </si>
  <si>
    <t>973-315-5254</t>
  </si>
  <si>
    <t>Sylvester</t>
  </si>
  <si>
    <t>DeLuca</t>
  </si>
  <si>
    <t>www.andoverregional.org</t>
  </si>
  <si>
    <t>Byram Township School District</t>
  </si>
  <si>
    <t>Fritzky</t>
  </si>
  <si>
    <t>fritzky.john@byramschools.org</t>
  </si>
  <si>
    <t>12 Mansfield Drive</t>
  </si>
  <si>
    <t>Stanhope</t>
  </si>
  <si>
    <t>973-347-1047 x2305</t>
  </si>
  <si>
    <t>Gilbert</t>
  </si>
  <si>
    <t>McCorkle</t>
  </si>
  <si>
    <t>Meijer</t>
  </si>
  <si>
    <t>www.byramschools.org</t>
  </si>
  <si>
    <t>Frankford Township Consolidated School District</t>
  </si>
  <si>
    <t>Braden</t>
  </si>
  <si>
    <t>Hirsch</t>
  </si>
  <si>
    <t>hirschb@frankfordschool.org</t>
  </si>
  <si>
    <t>2 Pines Road</t>
  </si>
  <si>
    <t>Branchville</t>
  </si>
  <si>
    <t>973-948-3727 x206</t>
  </si>
  <si>
    <t>Lesssard</t>
  </si>
  <si>
    <t>Nikki</t>
  </si>
  <si>
    <t>Desouza</t>
  </si>
  <si>
    <t>Librizzi</t>
  </si>
  <si>
    <t>Pistone</t>
  </si>
  <si>
    <t>Dobkowski</t>
  </si>
  <si>
    <t>Bansemer</t>
  </si>
  <si>
    <t>www.frankfordschool.org</t>
  </si>
  <si>
    <t>Franklin Borough School District</t>
  </si>
  <si>
    <t>jrgiacchi@fboe.org</t>
  </si>
  <si>
    <t>50 Washington Avenue</t>
  </si>
  <si>
    <t>973-827-9775 x7212</t>
  </si>
  <si>
    <t>Gummere</t>
  </si>
  <si>
    <t>Vallacchi</t>
  </si>
  <si>
    <t>Ryder</t>
  </si>
  <si>
    <t>Arcangelo</t>
  </si>
  <si>
    <t>Iurato</t>
  </si>
  <si>
    <t>www.fboe.org</t>
  </si>
  <si>
    <t>Fredon Township School District</t>
  </si>
  <si>
    <t>mbeck@fredon.org</t>
  </si>
  <si>
    <t>459 Route #94S</t>
  </si>
  <si>
    <t>07860-5018</t>
  </si>
  <si>
    <t>973-383-4151 x3002</t>
  </si>
  <si>
    <t>Deirdre</t>
  </si>
  <si>
    <t>Mastandrea</t>
  </si>
  <si>
    <t>Chaparro</t>
  </si>
  <si>
    <t>www.fredon.org</t>
  </si>
  <si>
    <t>Green Township School District</t>
  </si>
  <si>
    <t>Furnari</t>
  </si>
  <si>
    <t>lfurnari@greenhills.org</t>
  </si>
  <si>
    <t>69 Mackerley Road</t>
  </si>
  <si>
    <t>Greendell</t>
  </si>
  <si>
    <t>P.O. Box 14</t>
  </si>
  <si>
    <t>973-300-3800 x5333</t>
  </si>
  <si>
    <t>Palecek</t>
  </si>
  <si>
    <t>Jon Paul</t>
  </si>
  <si>
    <t>Bollette</t>
  </si>
  <si>
    <t>Harrington</t>
  </si>
  <si>
    <t>www.greenhills.org</t>
  </si>
  <si>
    <t>Hamburg School District</t>
  </si>
  <si>
    <t>Sigman</t>
  </si>
  <si>
    <t>ksigman@hamburgschool.com</t>
  </si>
  <si>
    <t>30 Linwood Ave.</t>
  </si>
  <si>
    <t>Hamburg</t>
  </si>
  <si>
    <t>973-827-7570</t>
  </si>
  <si>
    <t>Sabo</t>
  </si>
  <si>
    <t>Baumgartner</t>
  </si>
  <si>
    <t>Sealander</t>
  </si>
  <si>
    <t>www.hamburgschool.com</t>
  </si>
  <si>
    <t>Hampton Township School District</t>
  </si>
  <si>
    <t>Hutcheson</t>
  </si>
  <si>
    <t>hutcheson@mckeown.org</t>
  </si>
  <si>
    <t>1 School Road</t>
  </si>
  <si>
    <t>973-383-5300</t>
  </si>
  <si>
    <t>Fedge</t>
  </si>
  <si>
    <t>Coladarci</t>
  </si>
  <si>
    <t>www.mckeown.org</t>
  </si>
  <si>
    <t>Hardyston Township School District</t>
  </si>
  <si>
    <t>mryder@htps.org</t>
  </si>
  <si>
    <t>183 Wheatsworth Road</t>
  </si>
  <si>
    <t>973-823-7000 X1080</t>
  </si>
  <si>
    <t>Rennie</t>
  </si>
  <si>
    <t>Reinstein</t>
  </si>
  <si>
    <t>Demeter</t>
  </si>
  <si>
    <t>Cimaglia</t>
  </si>
  <si>
    <t>Kornak</t>
  </si>
  <si>
    <t>www.htps.org</t>
  </si>
  <si>
    <t>High Point Regional High School District</t>
  </si>
  <si>
    <t>Ripley</t>
  </si>
  <si>
    <t>SRipley@hpregional.org</t>
  </si>
  <si>
    <t>299 PIDGEON HILL ROAD</t>
  </si>
  <si>
    <t>07461-2732</t>
  </si>
  <si>
    <t>973-875-7204</t>
  </si>
  <si>
    <t>Gib</t>
  </si>
  <si>
    <t>Seamus</t>
  </si>
  <si>
    <t>Yardley</t>
  </si>
  <si>
    <t>Rice</t>
  </si>
  <si>
    <t>www.hpregional.org</t>
  </si>
  <si>
    <t>Hopatcong Borough School District</t>
  </si>
  <si>
    <t>DiBenedetto</t>
  </si>
  <si>
    <t>adibenedetto@hopatcongschools.org</t>
  </si>
  <si>
    <t>2 Windsor Ave</t>
  </si>
  <si>
    <t>Hopatcong</t>
  </si>
  <si>
    <t>PO Box 1029</t>
  </si>
  <si>
    <t>973-398-8801</t>
  </si>
  <si>
    <t>Hallenbeck</t>
  </si>
  <si>
    <t>www.hopatcongschools.org</t>
  </si>
  <si>
    <t>Kittatinny Regional School District</t>
  </si>
  <si>
    <t>chutches@krhs.net</t>
  </si>
  <si>
    <t>77 Halsey Road</t>
  </si>
  <si>
    <t>973-383-1800 x1170</t>
  </si>
  <si>
    <t>Falchetta</t>
  </si>
  <si>
    <t>McNicholas</t>
  </si>
  <si>
    <t>www.krhs.net</t>
  </si>
  <si>
    <t>Lafayette Township School District</t>
  </si>
  <si>
    <t>CENATIEMPO</t>
  </si>
  <si>
    <t>jcenatiempo@ltes.org</t>
  </si>
  <si>
    <t>178 Beaver Run Road</t>
  </si>
  <si>
    <t>Lafayette</t>
  </si>
  <si>
    <t>973-875-3344 x8</t>
  </si>
  <si>
    <t>ERIN</t>
  </si>
  <si>
    <t>SIIPOLA</t>
  </si>
  <si>
    <t>Fazzio</t>
  </si>
  <si>
    <t>GERARD</t>
  </si>
  <si>
    <t>FAZZIO</t>
  </si>
  <si>
    <t>Shuman</t>
  </si>
  <si>
    <t>www.ltes.org</t>
  </si>
  <si>
    <t>Lenape Valley Regional High School District</t>
  </si>
  <si>
    <t>DiRupo</t>
  </si>
  <si>
    <t>pdirupo@lvhs.org</t>
  </si>
  <si>
    <t>28 Sparta Road</t>
  </si>
  <si>
    <t>P.O. Box 578</t>
  </si>
  <si>
    <t>973-347-7600 x 5101</t>
  </si>
  <si>
    <t>Klinck</t>
  </si>
  <si>
    <t>Hilary</t>
  </si>
  <si>
    <t>Beirne</t>
  </si>
  <si>
    <t>Claeys</t>
  </si>
  <si>
    <t>Ciottariello</t>
  </si>
  <si>
    <t>Stanwick</t>
  </si>
  <si>
    <t>www.lvhs.org</t>
  </si>
  <si>
    <t>Montague Township School District</t>
  </si>
  <si>
    <t>Capone</t>
  </si>
  <si>
    <t>475 ROUTE 206</t>
  </si>
  <si>
    <t>MONTAGUE</t>
  </si>
  <si>
    <t>07827-3018</t>
  </si>
  <si>
    <t>Erkan</t>
  </si>
  <si>
    <t>Gumustekin</t>
  </si>
  <si>
    <t>Andriac</t>
  </si>
  <si>
    <t>Romano</t>
  </si>
  <si>
    <t>WWW.MONTAGUESCHOOL.ORG</t>
  </si>
  <si>
    <t>Newton Public School District</t>
  </si>
  <si>
    <t>G Kennedy</t>
  </si>
  <si>
    <t>kgreene@newtonnj.org</t>
  </si>
  <si>
    <t>57 Trinity Street</t>
  </si>
  <si>
    <t>973-383-7392 x4229</t>
  </si>
  <si>
    <t>Sekelsky</t>
  </si>
  <si>
    <t>Pasquali</t>
  </si>
  <si>
    <t>Castro</t>
  </si>
  <si>
    <t>Lutz</t>
  </si>
  <si>
    <t>G. Kennedy</t>
  </si>
  <si>
    <t>www.newtonnj.org</t>
  </si>
  <si>
    <t>Northern Hills Academy School District</t>
  </si>
  <si>
    <t>aromano@sussexesc.org</t>
  </si>
  <si>
    <t>10 GAIL CT</t>
  </si>
  <si>
    <t>SPARTA</t>
  </si>
  <si>
    <t>973-579-6980 x102</t>
  </si>
  <si>
    <t>www.sussexesc.org</t>
  </si>
  <si>
    <t>Ogdensburg Borough School District</t>
  </si>
  <si>
    <t>Astor</t>
  </si>
  <si>
    <t>dastor@obboe.org</t>
  </si>
  <si>
    <t>100 Main Street</t>
  </si>
  <si>
    <t>Ogdensburg</t>
  </si>
  <si>
    <t>973-827-7126</t>
  </si>
  <si>
    <t>Leanne</t>
  </si>
  <si>
    <t>Paolazzi</t>
  </si>
  <si>
    <t>Skye</t>
  </si>
  <si>
    <t>Patete</t>
  </si>
  <si>
    <t>www.obboe.org</t>
  </si>
  <si>
    <t>Sandyston-Walpack Consolidated School District</t>
  </si>
  <si>
    <t>Kochis</t>
  </si>
  <si>
    <t>wkochis@sandystonwalpack.org</t>
  </si>
  <si>
    <t>100 Route 560</t>
  </si>
  <si>
    <t xml:space="preserve">PO Box 128 </t>
  </si>
  <si>
    <t>PO Box 128</t>
  </si>
  <si>
    <t>973-948-4450 x1002</t>
  </si>
  <si>
    <t>Occhino</t>
  </si>
  <si>
    <t>www.sandystonwalpack.org</t>
  </si>
  <si>
    <t>Sparta Township Public School District</t>
  </si>
  <si>
    <t>McQueeney</t>
  </si>
  <si>
    <t>patrick.mcqueeney@sparta.org</t>
  </si>
  <si>
    <t>18 MOHAWK AVENUE</t>
  </si>
  <si>
    <t>973-729-2155</t>
  </si>
  <si>
    <t>H. RONALD</t>
  </si>
  <si>
    <t>SMITH</t>
  </si>
  <si>
    <t>SUZANNE</t>
  </si>
  <si>
    <t>ONNEMBO-OLIMPIO</t>
  </si>
  <si>
    <t>Saskia</t>
  </si>
  <si>
    <t>Bown</t>
  </si>
  <si>
    <t>Colte</t>
  </si>
  <si>
    <t>GREGORY</t>
  </si>
  <si>
    <t>www.sparta.org</t>
  </si>
  <si>
    <t>Stanhope School District</t>
  </si>
  <si>
    <t>Hagemann</t>
  </si>
  <si>
    <t>shagemann@stanhopeschools.org</t>
  </si>
  <si>
    <t>24 Valley Road</t>
  </si>
  <si>
    <t>973-347-0008</t>
  </si>
  <si>
    <t>McHugh</t>
  </si>
  <si>
    <t>Assunta</t>
  </si>
  <si>
    <t>Jardine</t>
  </si>
  <si>
    <t>Finklea-DiCataldo</t>
  </si>
  <si>
    <t>Lalama</t>
  </si>
  <si>
    <t>www.stanhopeschools.org</t>
  </si>
  <si>
    <t>Stillwater Township School District</t>
  </si>
  <si>
    <t>william.kochis@stillwaterschool.net</t>
  </si>
  <si>
    <t>904 Stillwater Road</t>
  </si>
  <si>
    <t>Stillwater</t>
  </si>
  <si>
    <t>PO BOX 12</t>
  </si>
  <si>
    <t>973-383-6171</t>
  </si>
  <si>
    <t>Metzgar</t>
  </si>
  <si>
    <t>Cramer</t>
  </si>
  <si>
    <t>Cali</t>
  </si>
  <si>
    <t>www.stillwaterschool.net</t>
  </si>
  <si>
    <t>Sussex County Technical School District</t>
  </si>
  <si>
    <t>Gus</t>
  </si>
  <si>
    <t>Modla</t>
  </si>
  <si>
    <t>gmodla@sussex.tec.nj.us</t>
  </si>
  <si>
    <t>105 North Church Road</t>
  </si>
  <si>
    <t>Sparta</t>
  </si>
  <si>
    <t>973-383-6700 x 211</t>
  </si>
  <si>
    <t>Italiano</t>
  </si>
  <si>
    <t>Finley</t>
  </si>
  <si>
    <t>Keiper</t>
  </si>
  <si>
    <t>Masotti</t>
  </si>
  <si>
    <t>www.sussextech.org</t>
  </si>
  <si>
    <t>Sussex County Technology Charter School</t>
  </si>
  <si>
    <t>Lazariuk</t>
  </si>
  <si>
    <t>nlazariuk@sussexcharter.org</t>
  </si>
  <si>
    <t>385 N. Church Rd.</t>
  </si>
  <si>
    <t>973-383-3250</t>
  </si>
  <si>
    <t>Wettstein</t>
  </si>
  <si>
    <t>http://www.sussexcharter.org</t>
  </si>
  <si>
    <t>Sussex-Wantage Regional School District</t>
  </si>
  <si>
    <t>Gall</t>
  </si>
  <si>
    <t>mgall@swregional.org</t>
  </si>
  <si>
    <t>27 Bank Street</t>
  </si>
  <si>
    <t>Sussex</t>
  </si>
  <si>
    <t>973-875-3175 x 4504</t>
  </si>
  <si>
    <t>Riker</t>
  </si>
  <si>
    <t>Kaleigh</t>
  </si>
  <si>
    <t>Themelakis</t>
  </si>
  <si>
    <t>Kronski</t>
  </si>
  <si>
    <t>www.swregional.org</t>
  </si>
  <si>
    <t>Vernon Township School District</t>
  </si>
  <si>
    <t>D'Avino</t>
  </si>
  <si>
    <t>kdavino@vtsd.com</t>
  </si>
  <si>
    <t>625 Route 517</t>
  </si>
  <si>
    <t xml:space="preserve">P O Box 99 </t>
  </si>
  <si>
    <t>P O Box 99</t>
  </si>
  <si>
    <t>973-764-2900 x4365</t>
  </si>
  <si>
    <t>Waleck</t>
  </si>
  <si>
    <t>Russ</t>
  </si>
  <si>
    <t>www.vtsd.com</t>
  </si>
  <si>
    <t>Wallkill Valley Regional High School</t>
  </si>
  <si>
    <t>dcarr@wallkillvrhs.org</t>
  </si>
  <si>
    <t>10 GRUMM ROAD</t>
  </si>
  <si>
    <t>HARDYSTON TOWNSHIP</t>
  </si>
  <si>
    <t>973-827-4100</t>
  </si>
  <si>
    <t>Kayla</t>
  </si>
  <si>
    <t>Gabadian</t>
  </si>
  <si>
    <t>Vazquez</t>
  </si>
  <si>
    <t>Taryn</t>
  </si>
  <si>
    <t>Guether</t>
  </si>
  <si>
    <t>Stefanski</t>
  </si>
  <si>
    <t>www.wallkillvrhs.org</t>
  </si>
  <si>
    <t>UNION</t>
  </si>
  <si>
    <t>Berkeley Heights School District</t>
  </si>
  <si>
    <t>mvarley@bhpsnj.org</t>
  </si>
  <si>
    <t>345 Plainfield Avenue</t>
  </si>
  <si>
    <t>Berkeley Heights</t>
  </si>
  <si>
    <t>908-464-1718</t>
  </si>
  <si>
    <t>Felezzola</t>
  </si>
  <si>
    <t>Gardner</t>
  </si>
  <si>
    <t>Zaun</t>
  </si>
  <si>
    <t>McKinney</t>
  </si>
  <si>
    <t>Skara</t>
  </si>
  <si>
    <t>www.bhpsnj.org</t>
  </si>
  <si>
    <t>Clark Township Public School District</t>
  </si>
  <si>
    <t>Grande</t>
  </si>
  <si>
    <t>egrande@clarkschools.org</t>
  </si>
  <si>
    <t>365 Westfield Ave</t>
  </si>
  <si>
    <t>732-574-9600 x3392</t>
  </si>
  <si>
    <t>Viola</t>
  </si>
  <si>
    <t>Nacht</t>
  </si>
  <si>
    <t>Amendola</t>
  </si>
  <si>
    <t>Andrei</t>
  </si>
  <si>
    <t>Ionescu</t>
  </si>
  <si>
    <t>Clarke</t>
  </si>
  <si>
    <t>www.clarkschools.org</t>
  </si>
  <si>
    <t>College Achieve Central Charter School</t>
  </si>
  <si>
    <t>Nadia</t>
  </si>
  <si>
    <t>Bennett</t>
  </si>
  <si>
    <t>nbennett@collegeachieve.org</t>
  </si>
  <si>
    <t>365 Emerson Ave</t>
  </si>
  <si>
    <t>Plainfield</t>
  </si>
  <si>
    <t>908-625-1879</t>
  </si>
  <si>
    <t>Tyhisa</t>
  </si>
  <si>
    <t>Natica</t>
  </si>
  <si>
    <t>www.collegeachieve.org</t>
  </si>
  <si>
    <t>Cranford Public School District</t>
  </si>
  <si>
    <t>rubin@cranfordschools.org</t>
  </si>
  <si>
    <t>132 Thomas Street</t>
  </si>
  <si>
    <t>Cranford</t>
  </si>
  <si>
    <t>908-709-6202</t>
  </si>
  <si>
    <t>Carfagno</t>
  </si>
  <si>
    <t>Burfeindt</t>
  </si>
  <si>
    <t>Heineman</t>
  </si>
  <si>
    <t>Mangini</t>
  </si>
  <si>
    <t>Lubieski-Hutmaker</t>
  </si>
  <si>
    <t>cranfordschools.org</t>
  </si>
  <si>
    <t>Cresthaven Academy Charter School</t>
  </si>
  <si>
    <t>Villafuerte</t>
  </si>
  <si>
    <t>mvillafuerte@cresthavenacademy.org</t>
  </si>
  <si>
    <t>530 West 7th Street</t>
  </si>
  <si>
    <t>908-756-1234</t>
  </si>
  <si>
    <t>Pipchick</t>
  </si>
  <si>
    <t>Avallone</t>
  </si>
  <si>
    <t>LeShannon</t>
  </si>
  <si>
    <t>www.cresthavenacademy.org</t>
  </si>
  <si>
    <t>Elizabeth Public Schools</t>
  </si>
  <si>
    <t>Hugelmeyer</t>
  </si>
  <si>
    <t>hugelmol@epsnj.org</t>
  </si>
  <si>
    <t>500 North Broad Street</t>
  </si>
  <si>
    <t>908-436-6131</t>
  </si>
  <si>
    <t>Pinto-Gomez</t>
  </si>
  <si>
    <t>Vosseler</t>
  </si>
  <si>
    <t>Gil</t>
  </si>
  <si>
    <t>Marsal</t>
  </si>
  <si>
    <t>Glackin</t>
  </si>
  <si>
    <t>www.epsnj.org</t>
  </si>
  <si>
    <t>Garwood Boro</t>
  </si>
  <si>
    <t>Quigley</t>
  </si>
  <si>
    <t>tquigley@garwoodschools.org</t>
  </si>
  <si>
    <t>400 Second Avenue</t>
  </si>
  <si>
    <t>Garwood</t>
  </si>
  <si>
    <t>908-789-0331 x2102</t>
  </si>
  <si>
    <t>Emmons</t>
  </si>
  <si>
    <t>Jonnathan</t>
  </si>
  <si>
    <t>Zhindon</t>
  </si>
  <si>
    <t>www.garwoodschools.org</t>
  </si>
  <si>
    <t>Hillside Public School District</t>
  </si>
  <si>
    <t>rgregory@hillsidek12.org</t>
  </si>
  <si>
    <t>195 Virginia Street</t>
  </si>
  <si>
    <t>Hillside</t>
  </si>
  <si>
    <t>908-352-7664 x6458</t>
  </si>
  <si>
    <t>Eichenholtz</t>
  </si>
  <si>
    <t>Mercedes</t>
  </si>
  <si>
    <t>Zuber</t>
  </si>
  <si>
    <t>Lois</t>
  </si>
  <si>
    <t>Velez</t>
  </si>
  <si>
    <t>http://district.hillsidek12.org/</t>
  </si>
  <si>
    <t>Kenilworth School District</t>
  </si>
  <si>
    <t>Arlington</t>
  </si>
  <si>
    <t>Kyle_Arlington@kenilworthschools.com</t>
  </si>
  <si>
    <t>426 Boulevard</t>
  </si>
  <si>
    <t>Kenilworth</t>
  </si>
  <si>
    <t>908-276-1644 x1513</t>
  </si>
  <si>
    <t>Cuccolo</t>
  </si>
  <si>
    <t>Luciani</t>
  </si>
  <si>
    <t>www.kenilworthschools.com</t>
  </si>
  <si>
    <t>Linden Public School District</t>
  </si>
  <si>
    <t>Marnie</t>
  </si>
  <si>
    <t>Hazelton</t>
  </si>
  <si>
    <t>mhazelton@lindenps.org</t>
  </si>
  <si>
    <t>2 E. Gibbons Street</t>
  </si>
  <si>
    <t>Linden</t>
  </si>
  <si>
    <t>07036-6500</t>
  </si>
  <si>
    <t>908-486-2800 x 8008</t>
  </si>
  <si>
    <t>Gaylord</t>
  </si>
  <si>
    <t>Stefanick</t>
  </si>
  <si>
    <t>Annabell</t>
  </si>
  <si>
    <t>Dariusz</t>
  </si>
  <si>
    <t>Kondratowicz</t>
  </si>
  <si>
    <t>Scaldino</t>
  </si>
  <si>
    <t>www.linden.k12.nj.us</t>
  </si>
  <si>
    <t>Morris-Union Jointure Commisson School District</t>
  </si>
  <si>
    <t>Fike</t>
  </si>
  <si>
    <t>jfike@mujc.org</t>
  </si>
  <si>
    <t>340 Central Avenue</t>
  </si>
  <si>
    <t>New Providence</t>
  </si>
  <si>
    <t>908-464-7625 x1180</t>
  </si>
  <si>
    <t>Davison</t>
  </si>
  <si>
    <t>Parenti</t>
  </si>
  <si>
    <t>Smallacomb</t>
  </si>
  <si>
    <t>Sesnick</t>
  </si>
  <si>
    <t>www.mujc.org</t>
  </si>
  <si>
    <t>Mountainside School District</t>
  </si>
  <si>
    <t>Walling</t>
  </si>
  <si>
    <t>jwalling@mountainsideschools.org</t>
  </si>
  <si>
    <t>1497 Woodacres Drive</t>
  </si>
  <si>
    <t>Mountainside</t>
  </si>
  <si>
    <t>908-232-3232 x101</t>
  </si>
  <si>
    <t>DiGeronimo</t>
  </si>
  <si>
    <t>Sheri</t>
  </si>
  <si>
    <t>Rouleau</t>
  </si>
  <si>
    <t>Richards</t>
  </si>
  <si>
    <t>Goldbeck</t>
  </si>
  <si>
    <t>Whitaker</t>
  </si>
  <si>
    <t>www.mountainsideschools.org</t>
  </si>
  <si>
    <t>New Providence School District</t>
  </si>
  <si>
    <t>Miceli</t>
  </si>
  <si>
    <t>dmiceli@npsdnj.org</t>
  </si>
  <si>
    <t>356 Elkwood Avenue</t>
  </si>
  <si>
    <t>07974-1838</t>
  </si>
  <si>
    <t>908-464-9050 x 225</t>
  </si>
  <si>
    <t>Harvey</t>
  </si>
  <si>
    <t>Zirpoli</t>
  </si>
  <si>
    <t>Richter</t>
  </si>
  <si>
    <t>Menard</t>
  </si>
  <si>
    <t>www.npsd.k12.nj.us</t>
  </si>
  <si>
    <t>Plainfield Public School District</t>
  </si>
  <si>
    <t>dmitchell@plainfield.k12.nj.us</t>
  </si>
  <si>
    <t>1200 Myrtle Avenue</t>
  </si>
  <si>
    <t>07063-1139</t>
  </si>
  <si>
    <t>908-731-4335</t>
  </si>
  <si>
    <t>Ottmann</t>
  </si>
  <si>
    <t>Filippatos</t>
  </si>
  <si>
    <t>Shipman</t>
  </si>
  <si>
    <t>Breauxsaus</t>
  </si>
  <si>
    <t>Tyrone</t>
  </si>
  <si>
    <t>www.plainfieldnjk12.org</t>
  </si>
  <si>
    <t>Rahway Public School District</t>
  </si>
  <si>
    <t>Camp</t>
  </si>
  <si>
    <t>pcamp@rahway.net</t>
  </si>
  <si>
    <t>1157 Kline Place</t>
  </si>
  <si>
    <t xml:space="preserve">P.O. Box 1024 </t>
  </si>
  <si>
    <t>Rahway</t>
  </si>
  <si>
    <t>P.O. Box 1024</t>
  </si>
  <si>
    <t>732-396-1020</t>
  </si>
  <si>
    <t>Abramowitz</t>
  </si>
  <si>
    <t>Picone</t>
  </si>
  <si>
    <t>Holobinko</t>
  </si>
  <si>
    <t>www.rahway.net</t>
  </si>
  <si>
    <t>Roselle Park Public School District</t>
  </si>
  <si>
    <t>Garrido</t>
  </si>
  <si>
    <t>pgarrido@rpsd.org</t>
  </si>
  <si>
    <t>510 CHESTNUT STREET</t>
  </si>
  <si>
    <t>ROSELLE PARK</t>
  </si>
  <si>
    <t>908-245-1197 x1011</t>
  </si>
  <si>
    <t>Calas</t>
  </si>
  <si>
    <t>Mormelo</t>
  </si>
  <si>
    <t>Bachert</t>
  </si>
  <si>
    <t>Bodek</t>
  </si>
  <si>
    <t>Hyde</t>
  </si>
  <si>
    <t>Shriner</t>
  </si>
  <si>
    <t>www.rpsd.org</t>
  </si>
  <si>
    <t>Roselle Public Schools</t>
  </si>
  <si>
    <t>NFISHER@ROSELLESCHOOLS.ORG</t>
  </si>
  <si>
    <t>710 LOCUST STREET</t>
  </si>
  <si>
    <t>ROSELLE</t>
  </si>
  <si>
    <t>908-298-2040 x2041</t>
  </si>
  <si>
    <t>Juskiewicz</t>
  </si>
  <si>
    <t>Ahearn</t>
  </si>
  <si>
    <t>Nogaj Matteson</t>
  </si>
  <si>
    <t>OLIPHANT</t>
  </si>
  <si>
    <t>Dixon</t>
  </si>
  <si>
    <t>Pulidore</t>
  </si>
  <si>
    <t>WWW.ROSELLESCHOOLS.ORG</t>
  </si>
  <si>
    <t>Scotch Plains-Fanwood School District</t>
  </si>
  <si>
    <t>Mast</t>
  </si>
  <si>
    <t>jmast@spfk12.org</t>
  </si>
  <si>
    <t>512 Cedar Street</t>
  </si>
  <si>
    <t>Scotch Plains</t>
  </si>
  <si>
    <t>908-232-6161 x4001</t>
  </si>
  <si>
    <t>Saridaki</t>
  </si>
  <si>
    <t>Rebimbas</t>
  </si>
  <si>
    <t>Morra</t>
  </si>
  <si>
    <t>Strugatch</t>
  </si>
  <si>
    <t>www.spfk12.org</t>
  </si>
  <si>
    <t>Springfield Public School District</t>
  </si>
  <si>
    <t>rgoldberg@springfieldschools.com</t>
  </si>
  <si>
    <t>139 Mountain Avenue</t>
  </si>
  <si>
    <t>Springfield</t>
  </si>
  <si>
    <t>07081-1701</t>
  </si>
  <si>
    <t>973-376-1025 X1213</t>
  </si>
  <si>
    <t>Boehm</t>
  </si>
  <si>
    <t>Scudero</t>
  </si>
  <si>
    <t>Daniela</t>
  </si>
  <si>
    <t>www.springfieldschools.com</t>
  </si>
  <si>
    <t>Summit Public School District</t>
  </si>
  <si>
    <t>shough@summit.k12.nj.us</t>
  </si>
  <si>
    <t>14 Beekman Terrace</t>
  </si>
  <si>
    <t>Summit</t>
  </si>
  <si>
    <t>908-918-2100 x3100</t>
  </si>
  <si>
    <t>Babis</t>
  </si>
  <si>
    <t>Orr</t>
  </si>
  <si>
    <t>www.summit.k12.nj.us</t>
  </si>
  <si>
    <t>The Barack Obama Green Charter High School District</t>
  </si>
  <si>
    <t>Murphy-Richardson</t>
  </si>
  <si>
    <t>erin.richardson@obamagreenhigh.com</t>
  </si>
  <si>
    <t>35 Watchung Ave</t>
  </si>
  <si>
    <t>07060-1007</t>
  </si>
  <si>
    <t>877-643-4064</t>
  </si>
  <si>
    <t>Orimaco</t>
  </si>
  <si>
    <t>Lippe</t>
  </si>
  <si>
    <t>Taliah</t>
  </si>
  <si>
    <t>Prudente</t>
  </si>
  <si>
    <t>www.obamagreencharter.org</t>
  </si>
  <si>
    <t>The Queen City Academy Charter School District</t>
  </si>
  <si>
    <t>West</t>
  </si>
  <si>
    <t>Dwest@queencity.edu</t>
  </si>
  <si>
    <t>815 West Seventh</t>
  </si>
  <si>
    <t xml:space="preserve">Street </t>
  </si>
  <si>
    <t>Street</t>
  </si>
  <si>
    <t>908-753-4700</t>
  </si>
  <si>
    <t>Madelyn</t>
  </si>
  <si>
    <t>Dullea</t>
  </si>
  <si>
    <t>Bampoe</t>
  </si>
  <si>
    <t>LaRochelle</t>
  </si>
  <si>
    <t>Berdecia</t>
  </si>
  <si>
    <t>www.queencity.edu</t>
  </si>
  <si>
    <t>Township of Union School District</t>
  </si>
  <si>
    <t>Benaquista</t>
  </si>
  <si>
    <t>gbenaquista@twpunionschools.org</t>
  </si>
  <si>
    <t>2369 Morris Avenue</t>
  </si>
  <si>
    <t>Union</t>
  </si>
  <si>
    <t>908-851-6425</t>
  </si>
  <si>
    <t>Koon</t>
  </si>
  <si>
    <t>Conti</t>
  </si>
  <si>
    <t>Ahern</t>
  </si>
  <si>
    <t>www.twpunionschools.org</t>
  </si>
  <si>
    <t>Union County Educational Services Commission</t>
  </si>
  <si>
    <t>Kowalski</t>
  </si>
  <si>
    <t>mkowalski@ucesc.org</t>
  </si>
  <si>
    <t>45 Cardinal Drive</t>
  </si>
  <si>
    <t>Westfield</t>
  </si>
  <si>
    <t>908-233-9317  x 1002</t>
  </si>
  <si>
    <t>Marquet</t>
  </si>
  <si>
    <t>Gonzales</t>
  </si>
  <si>
    <t>www.ucesc.org</t>
  </si>
  <si>
    <t>Union County TEAMS Charter School-High School/College LA</t>
  </si>
  <si>
    <t>Thorpe</t>
  </si>
  <si>
    <t>sthorpe887@aol.com</t>
  </si>
  <si>
    <t>515 West Fourth Street</t>
  </si>
  <si>
    <t>908-754-3918</t>
  </si>
  <si>
    <t>Otis</t>
  </si>
  <si>
    <t>Jasmine</t>
  </si>
  <si>
    <t>Toliver</t>
  </si>
  <si>
    <t>Chiles</t>
  </si>
  <si>
    <t>Enjolica</t>
  </si>
  <si>
    <t>www.ucteams.org</t>
  </si>
  <si>
    <t>Union County Vocational-Technical School District</t>
  </si>
  <si>
    <t>Gwendolyn</t>
  </si>
  <si>
    <t>gryan@ucvts.org</t>
  </si>
  <si>
    <t>1776 Raritan Road</t>
  </si>
  <si>
    <t>07076-2997</t>
  </si>
  <si>
    <t>908-889-8288 x120</t>
  </si>
  <si>
    <t>Behrmann</t>
  </si>
  <si>
    <t>Tauscher</t>
  </si>
  <si>
    <t>Marisa</t>
  </si>
  <si>
    <t>Ackermann</t>
  </si>
  <si>
    <t>Downey</t>
  </si>
  <si>
    <t>www.ucvts.org</t>
  </si>
  <si>
    <t>Westfield Public School District</t>
  </si>
  <si>
    <t>Dolan</t>
  </si>
  <si>
    <t>mdolan@westfieldnjk12.org</t>
  </si>
  <si>
    <t>302 Elm Street</t>
  </si>
  <si>
    <t>908-789-4420</t>
  </si>
  <si>
    <t>Weissman</t>
  </si>
  <si>
    <t>Malanga</t>
  </si>
  <si>
    <t>Auker</t>
  </si>
  <si>
    <t>www.westfieldnjk12.org</t>
  </si>
  <si>
    <t>Winfield Township</t>
  </si>
  <si>
    <t>LeBrun</t>
  </si>
  <si>
    <t>rlebrun@winfieldschool.org</t>
  </si>
  <si>
    <t>7 1/2 Gulfstream Avenue</t>
  </si>
  <si>
    <t>Winfield Twp</t>
  </si>
  <si>
    <t>908-486-7410</t>
  </si>
  <si>
    <t>Tarvin</t>
  </si>
  <si>
    <t>Holeman</t>
  </si>
  <si>
    <t>Barabas</t>
  </si>
  <si>
    <t>www.winfieldschool.org</t>
  </si>
  <si>
    <t>WARREN</t>
  </si>
  <si>
    <t>Allamuchy Township School District</t>
  </si>
  <si>
    <t>Sabol</t>
  </si>
  <si>
    <t>20 Johnsonburg Road</t>
  </si>
  <si>
    <t>Allamuchy</t>
  </si>
  <si>
    <t>PO BOX J</t>
  </si>
  <si>
    <t>908-852-1894 x101</t>
  </si>
  <si>
    <t>Schlessinger</t>
  </si>
  <si>
    <t>Gallegly</t>
  </si>
  <si>
    <t>www.aes.k12.nj.us</t>
  </si>
  <si>
    <t>Alpha Borough School District</t>
  </si>
  <si>
    <t>scohen@apsedu.org</t>
  </si>
  <si>
    <t>817 North Blvd.</t>
  </si>
  <si>
    <t>Alpha</t>
  </si>
  <si>
    <t>817 North Blvd</t>
  </si>
  <si>
    <t>908-454-5000 x200</t>
  </si>
  <si>
    <t>www.apsedu.org</t>
  </si>
  <si>
    <t>Belvidere School District</t>
  </si>
  <si>
    <t>CARRUBBA</t>
  </si>
  <si>
    <t>ccarrubba@belvideresd.org</t>
  </si>
  <si>
    <t>300 THIRD STREET</t>
  </si>
  <si>
    <t>BELVIDERE</t>
  </si>
  <si>
    <t>908-475-6600</t>
  </si>
  <si>
    <t>Rachelle</t>
  </si>
  <si>
    <t>Tjalma</t>
  </si>
  <si>
    <t>Ryanne</t>
  </si>
  <si>
    <t>Bigelli</t>
  </si>
  <si>
    <t>www.belvideresd.org</t>
  </si>
  <si>
    <t>Blairstown Elementary Township School District</t>
  </si>
  <si>
    <t>Ketch</t>
  </si>
  <si>
    <t>ketch@blairstownelem.net</t>
  </si>
  <si>
    <t>1 Sunset Hill Road</t>
  </si>
  <si>
    <t xml:space="preserve">PO Box E </t>
  </si>
  <si>
    <t>Blairstown</t>
  </si>
  <si>
    <t>PO Box E</t>
  </si>
  <si>
    <t>908-362-6111</t>
  </si>
  <si>
    <t>Herzer</t>
  </si>
  <si>
    <t>Welsh</t>
  </si>
  <si>
    <t>Brady</t>
  </si>
  <si>
    <t>www.blairstownelem.net</t>
  </si>
  <si>
    <t>Eagleburger</t>
  </si>
  <si>
    <t>meagleburger@franklinschool.org</t>
  </si>
  <si>
    <t>52 Asbury-Broadway Road</t>
  </si>
  <si>
    <t>908-689-2958 x409</t>
  </si>
  <si>
    <t>Duryea</t>
  </si>
  <si>
    <t>Mannon</t>
  </si>
  <si>
    <t>www.franklinschool.org</t>
  </si>
  <si>
    <t>Frelinghuysen Township School District</t>
  </si>
  <si>
    <t>Bonaparte</t>
  </si>
  <si>
    <t>bonaparte@frelinghuysenschool.org</t>
  </si>
  <si>
    <t>780 Route 94</t>
  </si>
  <si>
    <t>908-362-6319</t>
  </si>
  <si>
    <t>Laraway</t>
  </si>
  <si>
    <t>Aimee</t>
  </si>
  <si>
    <t>Castellana</t>
  </si>
  <si>
    <t>WWW.FRELINGHUYSENSCHOOL.ORG</t>
  </si>
  <si>
    <t>Great Meadows Regional School District</t>
  </si>
  <si>
    <t>Mai</t>
  </si>
  <si>
    <t>mmai@gmrsd.com</t>
  </si>
  <si>
    <t>281 Route 46</t>
  </si>
  <si>
    <t>Great Meadows</t>
  </si>
  <si>
    <t>P.O. Box 74</t>
  </si>
  <si>
    <t>908-637-6576</t>
  </si>
  <si>
    <t>Burnside</t>
  </si>
  <si>
    <t>Israel</t>
  </si>
  <si>
    <t>Marmolejos</t>
  </si>
  <si>
    <t>Hann</t>
  </si>
  <si>
    <t>www.gmrsd.com</t>
  </si>
  <si>
    <t>Eppolite</t>
  </si>
  <si>
    <t>eppolitem@gtsd.net</t>
  </si>
  <si>
    <t>101 Wyndham Farm Boulevard</t>
  </si>
  <si>
    <t>Stewartsville</t>
  </si>
  <si>
    <t>908-859-2022 x 1606</t>
  </si>
  <si>
    <t>Nichole</t>
  </si>
  <si>
    <t>Hutnik</t>
  </si>
  <si>
    <t>www.gtsd.net</t>
  </si>
  <si>
    <t>Hackettstown Public School District</t>
  </si>
  <si>
    <t>Mango</t>
  </si>
  <si>
    <t>dmango@hackettstown.org</t>
  </si>
  <si>
    <t>315 Washington Street</t>
  </si>
  <si>
    <t xml:space="preserve">PO Box 465 </t>
  </si>
  <si>
    <t>Hackettstown</t>
  </si>
  <si>
    <t>PO Box 465</t>
  </si>
  <si>
    <t>908-850-6500 x1231</t>
  </si>
  <si>
    <t>Havlusch</t>
  </si>
  <si>
    <t>O'Leary</t>
  </si>
  <si>
    <t>Jorstad</t>
  </si>
  <si>
    <t>Grigoletti</t>
  </si>
  <si>
    <t>Morsillo</t>
  </si>
  <si>
    <t>www.hackettstown.org</t>
  </si>
  <si>
    <t>Harmony Township School District</t>
  </si>
  <si>
    <t>carrubbac@htesd.org</t>
  </si>
  <si>
    <t>2551 BELVIDERE ROAD</t>
  </si>
  <si>
    <t>PHILLIPSBURG</t>
  </si>
  <si>
    <t>908-859-1001-x 170</t>
  </si>
  <si>
    <t>Staples</t>
  </si>
  <si>
    <t>Tucker</t>
  </si>
  <si>
    <t>www.htesd.org</t>
  </si>
  <si>
    <t>Hope Township School District</t>
  </si>
  <si>
    <t>Newman</t>
  </si>
  <si>
    <t>knewman@hope-elem.org</t>
  </si>
  <si>
    <t>320 Johnsonburg Road</t>
  </si>
  <si>
    <t>P.O. Box 293</t>
  </si>
  <si>
    <t>908-459-4242 x222</t>
  </si>
  <si>
    <t>Huff</t>
  </si>
  <si>
    <t>www.hope-elem.org</t>
  </si>
  <si>
    <t>Knowlton Township School District</t>
  </si>
  <si>
    <t>DeFalco</t>
  </si>
  <si>
    <t>defalcoj@knowltonschool.com</t>
  </si>
  <si>
    <t>80 Route 46</t>
  </si>
  <si>
    <t>Delaware</t>
  </si>
  <si>
    <t>P.O. Box 227</t>
  </si>
  <si>
    <t>908-475-5118 x203</t>
  </si>
  <si>
    <t>www.knowltonschool.com</t>
  </si>
  <si>
    <t>Lopatcong Township School District</t>
  </si>
  <si>
    <t>Mercora</t>
  </si>
  <si>
    <t>mercorad@lopatsd.org</t>
  </si>
  <si>
    <t>321 Stonehenge Drive</t>
  </si>
  <si>
    <t>Phillipsburg</t>
  </si>
  <si>
    <t>08865-9411</t>
  </si>
  <si>
    <t>null</t>
  </si>
  <si>
    <t>908-213-2995 x3100</t>
  </si>
  <si>
    <t>Atilla</t>
  </si>
  <si>
    <t>Sabahoglu</t>
  </si>
  <si>
    <t>Bonney</t>
  </si>
  <si>
    <t>www.lopatsd.org</t>
  </si>
  <si>
    <t>Mansfield Township Elementary School District</t>
  </si>
  <si>
    <t>giordanoa@mansfieldtsd.org</t>
  </si>
  <si>
    <t>50 Port Murray Road</t>
  </si>
  <si>
    <t>Port Murray</t>
  </si>
  <si>
    <t>908-689-3212 x1182</t>
  </si>
  <si>
    <t>DeAngelo</t>
  </si>
  <si>
    <t>Patti</t>
  </si>
  <si>
    <t>Raiello</t>
  </si>
  <si>
    <t>Melitsky</t>
  </si>
  <si>
    <t>Zuchowski</t>
  </si>
  <si>
    <t>www.mansfieldelementary.org</t>
  </si>
  <si>
    <t>North Warren Regional School District</t>
  </si>
  <si>
    <t>Bilotti</t>
  </si>
  <si>
    <t>sbilotti@northwarren.org</t>
  </si>
  <si>
    <t>10 Noe Road</t>
  </si>
  <si>
    <t>PO Box 410</t>
  </si>
  <si>
    <t>908-362-9342</t>
  </si>
  <si>
    <t>Heagele</t>
  </si>
  <si>
    <t>Jeanene</t>
  </si>
  <si>
    <t>Dutt</t>
  </si>
  <si>
    <t>Quinn</t>
  </si>
  <si>
    <t>Louw</t>
  </si>
  <si>
    <t>www.northwarren.org</t>
  </si>
  <si>
    <t>Oxford Township School District</t>
  </si>
  <si>
    <t>Magnuson</t>
  </si>
  <si>
    <t>bmagnuson@oxfordcentral.org</t>
  </si>
  <si>
    <t>17 Kent Street</t>
  </si>
  <si>
    <t>Oxford</t>
  </si>
  <si>
    <t>908-453-4101</t>
  </si>
  <si>
    <t>DeRiso</t>
  </si>
  <si>
    <t>Rienzi</t>
  </si>
  <si>
    <t>Gilberti</t>
  </si>
  <si>
    <t>Kimball</t>
  </si>
  <si>
    <t>www.oxfordcentral.org</t>
  </si>
  <si>
    <t>Phillipsburg School District</t>
  </si>
  <si>
    <t>Troxell</t>
  </si>
  <si>
    <t>troxell.gregory@pburgsd.net</t>
  </si>
  <si>
    <t>50 Sargent Avenue</t>
  </si>
  <si>
    <t>908-454-3400 x1010</t>
  </si>
  <si>
    <t>Deutsch</t>
  </si>
  <si>
    <t>Cichocki</t>
  </si>
  <si>
    <t>Barsony</t>
  </si>
  <si>
    <t>www.pburgsd.net</t>
  </si>
  <si>
    <t>Pohatcong Township School District</t>
  </si>
  <si>
    <t>Mandry</t>
  </si>
  <si>
    <t>dmandry@pohatcong.org</t>
  </si>
  <si>
    <t>240 Route 519</t>
  </si>
  <si>
    <t>908-859-8155</t>
  </si>
  <si>
    <t>Kullman</t>
  </si>
  <si>
    <t>http://www.pohatcong.org</t>
  </si>
  <si>
    <t>Ridge and Valley Charter School</t>
  </si>
  <si>
    <t>Masi</t>
  </si>
  <si>
    <t>lisa.masi@ridgeandvalley.org</t>
  </si>
  <si>
    <t>1234 State Route 94</t>
  </si>
  <si>
    <t>Frelinghuysen</t>
  </si>
  <si>
    <t>908-362-1114</t>
  </si>
  <si>
    <t>Manole</t>
  </si>
  <si>
    <t>Radline</t>
  </si>
  <si>
    <t>www.ridgeandvalley.org</t>
  </si>
  <si>
    <t>Warren County Special Services School District</t>
  </si>
  <si>
    <t>Frederiks</t>
  </si>
  <si>
    <t>t.frederiks@wcsssd.org</t>
  </si>
  <si>
    <t>682 Oxford Road</t>
  </si>
  <si>
    <t>908-223-7275</t>
  </si>
  <si>
    <t>www.wcsssd.org</t>
  </si>
  <si>
    <t>Warren County Vocational Technical School</t>
  </si>
  <si>
    <t>Derrick</t>
  </si>
  <si>
    <t>Forsythe</t>
  </si>
  <si>
    <t>forsythed@wctech.org</t>
  </si>
  <si>
    <t>1500 Route 57</t>
  </si>
  <si>
    <t>908-835-2824</t>
  </si>
  <si>
    <t>Barkman</t>
  </si>
  <si>
    <t>Sarte</t>
  </si>
  <si>
    <t>Cammarota</t>
  </si>
  <si>
    <t>http://www.wctech.org</t>
  </si>
  <si>
    <t>Warren Hills Regional School District</t>
  </si>
  <si>
    <t>Clymer</t>
  </si>
  <si>
    <t>clymere@warrenhills.org</t>
  </si>
  <si>
    <t>89 Bowerstown Road</t>
  </si>
  <si>
    <t>908-689-3143 x 1045</t>
  </si>
  <si>
    <t>Donnamarie</t>
  </si>
  <si>
    <t>Palmiere</t>
  </si>
  <si>
    <t>Mary Louise</t>
  </si>
  <si>
    <t>Rowlin</t>
  </si>
  <si>
    <t>Mack</t>
  </si>
  <si>
    <t>Jaw</t>
  </si>
  <si>
    <t>Guth</t>
  </si>
  <si>
    <t>www.warrenhills.org</t>
  </si>
  <si>
    <t>Washington Borough School District</t>
  </si>
  <si>
    <t>Nassry</t>
  </si>
  <si>
    <t>nassryj@washboro.org</t>
  </si>
  <si>
    <t>300 West Stewart Street</t>
  </si>
  <si>
    <t>908-689-1810</t>
  </si>
  <si>
    <t>Koeppen</t>
  </si>
  <si>
    <t>www.washboroschools.org</t>
  </si>
  <si>
    <t>Neuhs</t>
  </si>
  <si>
    <t>kneuhs@washtwpsd.org</t>
  </si>
  <si>
    <t>1 East Front St.</t>
  </si>
  <si>
    <t>908-689-1119</t>
  </si>
  <si>
    <t>www.washtwpsd.org</t>
  </si>
  <si>
    <t>White Township Consolidated School District</t>
  </si>
  <si>
    <t>thompson@whitetwpsd.org</t>
  </si>
  <si>
    <t>565 CR 519</t>
  </si>
  <si>
    <t>Belvidere</t>
  </si>
  <si>
    <t>07823-9798</t>
  </si>
  <si>
    <t>908-475-4773 x 376</t>
  </si>
  <si>
    <t>Werkheiser</t>
  </si>
  <si>
    <t>Hutchison</t>
  </si>
  <si>
    <t>www.whitetwpsd.org</t>
  </si>
  <si>
    <t>talbro@wood-ridgeschools.org</t>
  </si>
  <si>
    <t>betze.brian@robbinsville.k12.nj.us</t>
  </si>
  <si>
    <t>McDowell</t>
  </si>
  <si>
    <t>fmcdowell@collsk12.org</t>
  </si>
  <si>
    <t>wkappeler@mrtes.com</t>
  </si>
  <si>
    <t>Nittolo</t>
  </si>
  <si>
    <t>jnittolo@montagueschool.org</t>
  </si>
  <si>
    <t>cpalmore@ccsp.org</t>
  </si>
  <si>
    <t>lhill@belmar.k12.nj.us</t>
  </si>
  <si>
    <t>cmeyrick@beachhavenschool.com</t>
  </si>
  <si>
    <t>Godlesky</t>
  </si>
  <si>
    <t>lgodlesky@oceanportschools.org</t>
  </si>
  <si>
    <t>msabol@aes.k12.nj.us</t>
  </si>
  <si>
    <t>Kobik</t>
  </si>
  <si>
    <t>kobikc@southampton.k12.nj.us</t>
  </si>
  <si>
    <t>Sochor</t>
  </si>
  <si>
    <t>dsochor@bellmawrschools.org</t>
  </si>
  <si>
    <t>Organization</t>
  </si>
  <si>
    <t>Name</t>
  </si>
  <si>
    <t>Title</t>
  </si>
  <si>
    <t>Email</t>
  </si>
  <si>
    <t>Phone Number</t>
  </si>
  <si>
    <t>NJEA</t>
  </si>
  <si>
    <t>Marie Blistan</t>
  </si>
  <si>
    <t>mblistan@njea.org</t>
  </si>
  <si>
    <t>Sean Spiller</t>
  </si>
  <si>
    <t>Vice President</t>
  </si>
  <si>
    <t>President</t>
  </si>
  <si>
    <t>sspiller@njea.org</t>
  </si>
  <si>
    <t>Steve Beatty</t>
  </si>
  <si>
    <t>Secretary-Treasurer</t>
  </si>
  <si>
    <t>sbeatty@njea.org</t>
  </si>
  <si>
    <t>mcc@aap.org</t>
  </si>
  <si>
    <t>American Academy of Pediatrics (AAP)</t>
  </si>
  <si>
    <t>800-433-9016</t>
  </si>
  <si>
    <t>609-599-4561</t>
  </si>
  <si>
    <t>CDC</t>
  </si>
  <si>
    <t>director@cdc.gov</t>
  </si>
  <si>
    <t>CDC Director</t>
  </si>
  <si>
    <t>404-639-7000</t>
  </si>
  <si>
    <t>acs1@cdc.gov</t>
  </si>
  <si>
    <t>CDC Principal Deputy Director</t>
  </si>
  <si>
    <t>Mitchell Wolfe, MD</t>
  </si>
  <si>
    <t>Rochelle Walensky, MD</t>
  </si>
  <si>
    <t>Anne Schuchat, MD</t>
  </si>
  <si>
    <t>CDC Chief Medical Officer</t>
  </si>
  <si>
    <t>msw6@cdc.gov</t>
  </si>
  <si>
    <t>202-245-0600</t>
  </si>
  <si>
    <t>Jay Butler, MD</t>
  </si>
  <si>
    <t>CDC Deputy Director for Infectious Disease</t>
  </si>
  <si>
    <t>jcb3@cdc.gov</t>
  </si>
  <si>
    <t>404-718-7841</t>
  </si>
  <si>
    <t>Judith M. Persichilli</t>
  </si>
  <si>
    <t>Commissioner</t>
  </si>
  <si>
    <t>judith.persichilli@doh.nj.gov</t>
  </si>
  <si>
    <t>609-292-7838 or 7839</t>
  </si>
  <si>
    <t>GENERAL EMAIL</t>
  </si>
  <si>
    <t>AAP</t>
  </si>
  <si>
    <t>Mark Del Monte</t>
  </si>
  <si>
    <t>CEO/Executive Vice President</t>
  </si>
  <si>
    <t>mdelmonte@aap.org</t>
  </si>
  <si>
    <t>Vera Tait</t>
  </si>
  <si>
    <t>Chief Medical Officer</t>
  </si>
  <si>
    <t>ftait@aap.org</t>
  </si>
  <si>
    <t>NJ State Dept of Health (DOH)</t>
  </si>
  <si>
    <t>Redfearn</t>
  </si>
  <si>
    <t>redfearn@voorhees.k12.nj.us</t>
  </si>
  <si>
    <t>Governor Murphy's Office</t>
  </si>
  <si>
    <t>Gov Murphy</t>
  </si>
  <si>
    <t>nj.gov/governor/contact/all</t>
  </si>
  <si>
    <t>ywicki</t>
  </si>
  <si>
    <t>Lines highlighted in yellow note superintendents who have already written an open letter to Gov Murphy or posted publicly on social media as of May 27, 2021.</t>
  </si>
</sst>
</file>

<file path=xl/styles.xml><?xml version="1.0" encoding="utf-8"?>
<styleSheet xmlns="http://schemas.openxmlformats.org/spreadsheetml/2006/main">
  <fonts count="1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3">
    <xf numFmtId="0" fontId="0" fillId="0" borderId="0" xfId="0"/>
    <xf numFmtId="0" fontId="0" fillId="33" borderId="0" xfId="0" applyFill="1"/>
    <xf numFmtId="0" fontId="0" fillId="34" borderId="0" xfId="0" applyFill="1"/>
    <xf numFmtId="0" fontId="18" fillId="34" borderId="0" xfId="42" applyFill="1"/>
    <xf numFmtId="0" fontId="18" fillId="0" borderId="0" xfId="42"/>
    <xf numFmtId="0" fontId="0" fillId="0" borderId="0" xfId="0" applyAlignment="1">
      <alignment wrapText="1"/>
    </xf>
    <xf numFmtId="0" fontId="16" fillId="0" borderId="0" xfId="0" applyFont="1"/>
    <xf numFmtId="0" fontId="0" fillId="0" borderId="0" xfId="0" applyFill="1"/>
    <xf numFmtId="0" fontId="18" fillId="0" borderId="0" xfId="42" applyFill="1"/>
    <xf numFmtId="0" fontId="0" fillId="35" borderId="0" xfId="0" applyFill="1"/>
    <xf numFmtId="0" fontId="0" fillId="0" borderId="0" xfId="0" applyFont="1"/>
    <xf numFmtId="0" fontId="0" fillId="0" borderId="0" xfId="0" applyFont="1" applyAlignment="1">
      <alignment wrapText="1"/>
    </xf>
    <xf numFmtId="0" fontId="16" fillId="35" borderId="0" xfId="0"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hill@belmar.k12.nj.us" TargetMode="External"/><Relationship Id="rId13" Type="http://schemas.openxmlformats.org/officeDocument/2006/relationships/hyperlink" Target="mailto:dsochor@bellmawrschools.org" TargetMode="External"/><Relationship Id="rId3" Type="http://schemas.openxmlformats.org/officeDocument/2006/relationships/hyperlink" Target="mailto:fmcdowell@collsk12.org" TargetMode="External"/><Relationship Id="rId7" Type="http://schemas.openxmlformats.org/officeDocument/2006/relationships/hyperlink" Target="mailto:cpalmore@ccsp.org" TargetMode="External"/><Relationship Id="rId12" Type="http://schemas.openxmlformats.org/officeDocument/2006/relationships/hyperlink" Target="mailto:kobikc@southampton.k12.nj.us" TargetMode="External"/><Relationship Id="rId2" Type="http://schemas.openxmlformats.org/officeDocument/2006/relationships/hyperlink" Target="mailto:betze.brian@robbinsville.k12.nj.us" TargetMode="External"/><Relationship Id="rId1" Type="http://schemas.openxmlformats.org/officeDocument/2006/relationships/hyperlink" Target="mailto:talbro@wood-ridgeschools.org" TargetMode="External"/><Relationship Id="rId6" Type="http://schemas.openxmlformats.org/officeDocument/2006/relationships/hyperlink" Target="mailto:jnittolo@montagueschool.org" TargetMode="External"/><Relationship Id="rId11" Type="http://schemas.openxmlformats.org/officeDocument/2006/relationships/hyperlink" Target="mailto:msabol@aes.k12.nj.us" TargetMode="External"/><Relationship Id="rId5" Type="http://schemas.openxmlformats.org/officeDocument/2006/relationships/hyperlink" Target="mailto:wkappeler@mrtes.com" TargetMode="External"/><Relationship Id="rId10" Type="http://schemas.openxmlformats.org/officeDocument/2006/relationships/hyperlink" Target="mailto:lgodlesky@oceanportschools.org" TargetMode="External"/><Relationship Id="rId4" Type="http://schemas.openxmlformats.org/officeDocument/2006/relationships/hyperlink" Target="mailto:fmcdowell@collsk12.org" TargetMode="External"/><Relationship Id="rId9" Type="http://schemas.openxmlformats.org/officeDocument/2006/relationships/hyperlink" Target="mailto:cmeyrick@beachhavenschool.com" TargetMode="External"/><Relationship Id="rId14" Type="http://schemas.openxmlformats.org/officeDocument/2006/relationships/hyperlink" Target="mailto:redfearn@voorhees.k12.nj.u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rector@cdc.gov" TargetMode="External"/><Relationship Id="rId13" Type="http://schemas.openxmlformats.org/officeDocument/2006/relationships/printerSettings" Target="../printerSettings/printerSettings1.bin"/><Relationship Id="rId3" Type="http://schemas.openxmlformats.org/officeDocument/2006/relationships/hyperlink" Target="mailto:sbeatty@njea.org" TargetMode="External"/><Relationship Id="rId7" Type="http://schemas.openxmlformats.org/officeDocument/2006/relationships/hyperlink" Target="mailto:ftait@aap.org" TargetMode="External"/><Relationship Id="rId12" Type="http://schemas.openxmlformats.org/officeDocument/2006/relationships/hyperlink" Target="https://nj.gov/governor/contact/all" TargetMode="External"/><Relationship Id="rId2" Type="http://schemas.openxmlformats.org/officeDocument/2006/relationships/hyperlink" Target="mailto:sspiller@njea.org" TargetMode="External"/><Relationship Id="rId1" Type="http://schemas.openxmlformats.org/officeDocument/2006/relationships/hyperlink" Target="mailto:mblistan@njea.org" TargetMode="External"/><Relationship Id="rId6" Type="http://schemas.openxmlformats.org/officeDocument/2006/relationships/hyperlink" Target="mailto:mdelmonte@aap.org" TargetMode="External"/><Relationship Id="rId11" Type="http://schemas.openxmlformats.org/officeDocument/2006/relationships/hyperlink" Target="mailto:jcb3@cdc.gov" TargetMode="External"/><Relationship Id="rId5" Type="http://schemas.openxmlformats.org/officeDocument/2006/relationships/hyperlink" Target="mailto:judith.persichilli@doh.nj.gov" TargetMode="External"/><Relationship Id="rId10" Type="http://schemas.openxmlformats.org/officeDocument/2006/relationships/hyperlink" Target="mailto:msw6@cdc.gov" TargetMode="External"/><Relationship Id="rId4" Type="http://schemas.openxmlformats.org/officeDocument/2006/relationships/hyperlink" Target="mailto:mcc@aap.org" TargetMode="External"/><Relationship Id="rId9" Type="http://schemas.openxmlformats.org/officeDocument/2006/relationships/hyperlink" Target="mailto:acs1@cdc.gov" TargetMode="External"/></Relationships>
</file>

<file path=xl/worksheets/sheet1.xml><?xml version="1.0" encoding="utf-8"?>
<worksheet xmlns="http://schemas.openxmlformats.org/spreadsheetml/2006/main" xmlns:r="http://schemas.openxmlformats.org/officeDocument/2006/relationships">
  <dimension ref="A1:AW697"/>
  <sheetViews>
    <sheetView tabSelected="1" workbookViewId="0">
      <selection activeCell="I702" sqref="I702"/>
    </sheetView>
  </sheetViews>
  <sheetFormatPr defaultRowHeight="14.5"/>
  <cols>
    <col min="2" max="2" width="12" customWidth="1"/>
    <col min="4" max="4" width="12.81640625" customWidth="1"/>
    <col min="6" max="6" width="8" customWidth="1"/>
    <col min="7" max="7" width="13.453125" customWidth="1"/>
    <col min="8" max="8" width="14.453125" customWidth="1"/>
    <col min="9" max="9" width="22.1796875" customWidth="1"/>
    <col min="10" max="10" width="27.81640625" style="2" customWidth="1"/>
    <col min="11" max="11" width="12.1796875" customWidth="1"/>
  </cols>
  <sheetData>
    <row r="1" spans="1:49">
      <c r="A1" t="s">
        <v>0</v>
      </c>
    </row>
    <row r="2" spans="1:49">
      <c r="A2" t="s">
        <v>1</v>
      </c>
    </row>
    <row r="3" spans="1:49">
      <c r="A3" t="s">
        <v>2</v>
      </c>
    </row>
    <row r="4" spans="1:49">
      <c r="A4" t="s">
        <v>3</v>
      </c>
      <c r="B4" t="s">
        <v>4</v>
      </c>
      <c r="C4" t="s">
        <v>5</v>
      </c>
      <c r="D4" t="s">
        <v>6</v>
      </c>
      <c r="E4" t="s">
        <v>7</v>
      </c>
      <c r="F4" t="s">
        <v>8</v>
      </c>
      <c r="G4" t="s">
        <v>9</v>
      </c>
      <c r="H4" t="s">
        <v>10</v>
      </c>
      <c r="I4" t="s">
        <v>11</v>
      </c>
      <c r="J4" s="2" t="s">
        <v>12</v>
      </c>
      <c r="K4" t="s">
        <v>13</v>
      </c>
      <c r="L4" t="s">
        <v>14</v>
      </c>
      <c r="M4" t="s">
        <v>15</v>
      </c>
      <c r="N4" t="s">
        <v>16</v>
      </c>
      <c r="O4" t="s">
        <v>17</v>
      </c>
      <c r="P4" t="s">
        <v>18</v>
      </c>
      <c r="Q4" t="s">
        <v>19</v>
      </c>
      <c r="R4" t="s">
        <v>20</v>
      </c>
      <c r="S4" t="s">
        <v>21</v>
      </c>
      <c r="T4" t="s">
        <v>22</v>
      </c>
      <c r="U4" t="s">
        <v>23</v>
      </c>
      <c r="V4" t="s">
        <v>24</v>
      </c>
      <c r="W4" t="s">
        <v>25</v>
      </c>
      <c r="X4" t="s">
        <v>26</v>
      </c>
      <c r="Y4" t="s">
        <v>27</v>
      </c>
      <c r="Z4" t="s">
        <v>28</v>
      </c>
      <c r="AA4" t="s">
        <v>29</v>
      </c>
      <c r="AB4" t="s">
        <v>30</v>
      </c>
      <c r="AC4" t="s">
        <v>31</v>
      </c>
      <c r="AD4" t="s">
        <v>32</v>
      </c>
      <c r="AE4" t="s">
        <v>33</v>
      </c>
      <c r="AF4" t="s">
        <v>34</v>
      </c>
      <c r="AG4" t="s">
        <v>35</v>
      </c>
      <c r="AH4" t="s">
        <v>36</v>
      </c>
      <c r="AI4" t="s">
        <v>37</v>
      </c>
      <c r="AJ4" t="s">
        <v>38</v>
      </c>
      <c r="AK4" t="s">
        <v>39</v>
      </c>
      <c r="AL4" t="s">
        <v>40</v>
      </c>
      <c r="AM4" t="s">
        <v>41</v>
      </c>
      <c r="AN4" t="s">
        <v>42</v>
      </c>
      <c r="AO4" t="s">
        <v>43</v>
      </c>
      <c r="AP4" t="s">
        <v>44</v>
      </c>
      <c r="AQ4" t="s">
        <v>45</v>
      </c>
      <c r="AR4" t="s">
        <v>46</v>
      </c>
      <c r="AS4" t="s">
        <v>47</v>
      </c>
      <c r="AT4" t="s">
        <v>48</v>
      </c>
      <c r="AU4" t="s">
        <v>49</v>
      </c>
      <c r="AV4" t="s">
        <v>50</v>
      </c>
      <c r="AW4" t="s">
        <v>51</v>
      </c>
    </row>
    <row r="5" spans="1:49">
      <c r="A5" t="str">
        <f>"21"</f>
        <v>21</v>
      </c>
      <c r="B5" t="s">
        <v>52</v>
      </c>
      <c r="C5" t="str">
        <f>"1431"</f>
        <v>1431</v>
      </c>
      <c r="D5" t="s">
        <v>53</v>
      </c>
      <c r="F5" t="s">
        <v>54</v>
      </c>
      <c r="G5" t="s">
        <v>55</v>
      </c>
      <c r="H5" t="s">
        <v>56</v>
      </c>
      <c r="I5" t="s">
        <v>57</v>
      </c>
      <c r="J5" s="2" t="s">
        <v>58</v>
      </c>
      <c r="K5" t="s">
        <v>59</v>
      </c>
      <c r="L5" t="s">
        <v>60</v>
      </c>
      <c r="M5" t="s">
        <v>61</v>
      </c>
      <c r="N5" t="s">
        <v>62</v>
      </c>
      <c r="O5" t="str">
        <f>"08628"</f>
        <v>08628</v>
      </c>
      <c r="P5" t="s">
        <v>63</v>
      </c>
      <c r="S5" t="s">
        <v>61</v>
      </c>
      <c r="T5" t="s">
        <v>62</v>
      </c>
      <c r="U5" t="str">
        <f>"08625"</f>
        <v>08625</v>
      </c>
      <c r="V5" t="str">
        <f>"0535"</f>
        <v>0535</v>
      </c>
      <c r="W5" t="s">
        <v>64</v>
      </c>
      <c r="X5" t="s">
        <v>65</v>
      </c>
      <c r="Y5" t="s">
        <v>66</v>
      </c>
      <c r="Z5" t="s">
        <v>67</v>
      </c>
      <c r="AA5" t="s">
        <v>68</v>
      </c>
      <c r="AB5" t="s">
        <v>54</v>
      </c>
      <c r="AC5" t="s">
        <v>55</v>
      </c>
      <c r="AD5" t="s">
        <v>56</v>
      </c>
      <c r="AE5" t="s">
        <v>69</v>
      </c>
      <c r="AF5" t="s">
        <v>70</v>
      </c>
      <c r="AG5" t="s">
        <v>71</v>
      </c>
      <c r="AH5" t="s">
        <v>72</v>
      </c>
      <c r="AI5" t="s">
        <v>73</v>
      </c>
      <c r="AJ5" t="s">
        <v>54</v>
      </c>
      <c r="AK5" t="s">
        <v>74</v>
      </c>
      <c r="AL5" t="s">
        <v>75</v>
      </c>
      <c r="AM5" t="s">
        <v>76</v>
      </c>
      <c r="AN5" t="s">
        <v>77</v>
      </c>
      <c r="AO5" t="s">
        <v>78</v>
      </c>
      <c r="AP5" t="s">
        <v>79</v>
      </c>
      <c r="AQ5" t="s">
        <v>80</v>
      </c>
      <c r="AR5" t="s">
        <v>70</v>
      </c>
      <c r="AS5" t="s">
        <v>81</v>
      </c>
      <c r="AT5" t="s">
        <v>82</v>
      </c>
      <c r="AU5" t="s">
        <v>83</v>
      </c>
      <c r="AV5" t="s">
        <v>84</v>
      </c>
    </row>
    <row r="6" spans="1:49">
      <c r="A6" t="str">
        <f>"01"</f>
        <v>01</v>
      </c>
      <c r="B6" t="s">
        <v>85</v>
      </c>
      <c r="C6" t="str">
        <f>"0010"</f>
        <v>0010</v>
      </c>
      <c r="D6" t="s">
        <v>86</v>
      </c>
      <c r="F6" t="s">
        <v>65</v>
      </c>
      <c r="G6" t="s">
        <v>87</v>
      </c>
      <c r="H6" t="s">
        <v>88</v>
      </c>
      <c r="I6" t="s">
        <v>89</v>
      </c>
      <c r="J6" s="2" t="s">
        <v>90</v>
      </c>
      <c r="K6" t="s">
        <v>91</v>
      </c>
      <c r="L6" t="s">
        <v>60</v>
      </c>
      <c r="M6" t="s">
        <v>92</v>
      </c>
      <c r="N6" t="s">
        <v>62</v>
      </c>
      <c r="O6" t="str">
        <f>"08201"</f>
        <v>08201</v>
      </c>
      <c r="P6" t="s">
        <v>91</v>
      </c>
      <c r="S6" t="s">
        <v>92</v>
      </c>
      <c r="T6" t="s">
        <v>62</v>
      </c>
      <c r="U6" t="str">
        <f>"08201"</f>
        <v>08201</v>
      </c>
      <c r="W6" t="s">
        <v>93</v>
      </c>
      <c r="X6" t="s">
        <v>70</v>
      </c>
      <c r="Y6" t="s">
        <v>94</v>
      </c>
      <c r="Z6" t="s">
        <v>95</v>
      </c>
      <c r="AA6" t="s">
        <v>68</v>
      </c>
      <c r="AB6" t="s">
        <v>70</v>
      </c>
      <c r="AC6" t="s">
        <v>96</v>
      </c>
      <c r="AD6" t="s">
        <v>97</v>
      </c>
      <c r="AE6" t="s">
        <v>98</v>
      </c>
      <c r="AF6" t="s">
        <v>70</v>
      </c>
      <c r="AG6" t="s">
        <v>96</v>
      </c>
      <c r="AH6" t="s">
        <v>97</v>
      </c>
      <c r="AI6" t="s">
        <v>73</v>
      </c>
      <c r="AJ6" t="s">
        <v>70</v>
      </c>
      <c r="AK6" t="s">
        <v>96</v>
      </c>
      <c r="AL6" t="s">
        <v>97</v>
      </c>
      <c r="AM6" t="s">
        <v>76</v>
      </c>
      <c r="AR6" t="s">
        <v>65</v>
      </c>
      <c r="AS6" t="s">
        <v>87</v>
      </c>
      <c r="AT6" t="s">
        <v>88</v>
      </c>
      <c r="AU6" t="s">
        <v>83</v>
      </c>
      <c r="AV6" t="s">
        <v>99</v>
      </c>
      <c r="AW6" t="str">
        <f>"3400660"</f>
        <v>3400660</v>
      </c>
    </row>
    <row r="7" spans="1:49">
      <c r="A7" t="str">
        <f>"01"</f>
        <v>01</v>
      </c>
      <c r="B7" t="s">
        <v>85</v>
      </c>
      <c r="C7" t="str">
        <f>"0110"</f>
        <v>0110</v>
      </c>
      <c r="D7" t="s">
        <v>100</v>
      </c>
      <c r="F7" t="s">
        <v>77</v>
      </c>
      <c r="G7" t="s">
        <v>101</v>
      </c>
      <c r="H7" t="s">
        <v>102</v>
      </c>
      <c r="I7" t="s">
        <v>57</v>
      </c>
      <c r="J7" s="2" t="s">
        <v>103</v>
      </c>
      <c r="K7" t="s">
        <v>104</v>
      </c>
      <c r="L7" t="s">
        <v>105</v>
      </c>
      <c r="M7" t="s">
        <v>106</v>
      </c>
      <c r="N7" t="s">
        <v>62</v>
      </c>
      <c r="O7" t="str">
        <f>"08401"</f>
        <v>08401</v>
      </c>
      <c r="P7" t="s">
        <v>104</v>
      </c>
      <c r="Q7" t="s">
        <v>107</v>
      </c>
      <c r="R7" t="s">
        <v>108</v>
      </c>
      <c r="S7" t="s">
        <v>106</v>
      </c>
      <c r="T7" t="s">
        <v>62</v>
      </c>
      <c r="U7" t="str">
        <f>"08401"</f>
        <v>08401</v>
      </c>
      <c r="W7" t="s">
        <v>109</v>
      </c>
      <c r="X7" t="s">
        <v>70</v>
      </c>
      <c r="Y7" t="s">
        <v>110</v>
      </c>
      <c r="Z7" t="s">
        <v>111</v>
      </c>
      <c r="AA7" t="s">
        <v>112</v>
      </c>
      <c r="AB7" t="s">
        <v>70</v>
      </c>
      <c r="AC7" t="s">
        <v>113</v>
      </c>
      <c r="AD7" t="s">
        <v>114</v>
      </c>
      <c r="AE7" t="s">
        <v>115</v>
      </c>
      <c r="AF7" t="s">
        <v>70</v>
      </c>
      <c r="AG7" t="s">
        <v>116</v>
      </c>
      <c r="AH7" t="s">
        <v>117</v>
      </c>
      <c r="AI7" t="s">
        <v>73</v>
      </c>
      <c r="AJ7" t="s">
        <v>54</v>
      </c>
      <c r="AK7" t="s">
        <v>118</v>
      </c>
      <c r="AL7" t="s">
        <v>119</v>
      </c>
      <c r="AM7" t="s">
        <v>76</v>
      </c>
      <c r="AN7" t="s">
        <v>77</v>
      </c>
      <c r="AO7" t="s">
        <v>120</v>
      </c>
      <c r="AP7" t="s">
        <v>121</v>
      </c>
      <c r="AQ7" t="s">
        <v>80</v>
      </c>
      <c r="AR7" t="s">
        <v>77</v>
      </c>
      <c r="AS7" t="s">
        <v>122</v>
      </c>
      <c r="AT7" t="s">
        <v>123</v>
      </c>
      <c r="AU7" t="s">
        <v>83</v>
      </c>
      <c r="AV7" t="s">
        <v>124</v>
      </c>
      <c r="AW7" t="str">
        <f>"3400960"</f>
        <v>3400960</v>
      </c>
    </row>
    <row r="8" spans="1:49">
      <c r="A8" t="str">
        <f>"80"</f>
        <v>80</v>
      </c>
      <c r="B8" t="s">
        <v>85</v>
      </c>
      <c r="C8" t="str">
        <f>"6060"</f>
        <v>6060</v>
      </c>
      <c r="D8" t="s">
        <v>125</v>
      </c>
      <c r="E8" t="str">
        <f>"942"</f>
        <v>942</v>
      </c>
      <c r="F8" t="s">
        <v>77</v>
      </c>
      <c r="G8" t="s">
        <v>126</v>
      </c>
      <c r="H8" t="s">
        <v>127</v>
      </c>
      <c r="I8" t="s">
        <v>128</v>
      </c>
      <c r="J8" s="2" t="s">
        <v>129</v>
      </c>
      <c r="K8" t="s">
        <v>130</v>
      </c>
      <c r="L8" t="s">
        <v>60</v>
      </c>
      <c r="M8" t="s">
        <v>131</v>
      </c>
      <c r="N8" t="s">
        <v>62</v>
      </c>
      <c r="O8" t="str">
        <f>"08205"</f>
        <v>08205</v>
      </c>
      <c r="P8" t="s">
        <v>130</v>
      </c>
      <c r="S8" t="s">
        <v>131</v>
      </c>
      <c r="T8" t="s">
        <v>62</v>
      </c>
      <c r="U8" t="str">
        <f>"08205"</f>
        <v>08205</v>
      </c>
      <c r="W8" t="s">
        <v>132</v>
      </c>
      <c r="X8" t="s">
        <v>54</v>
      </c>
      <c r="Y8" t="s">
        <v>133</v>
      </c>
      <c r="Z8" t="s">
        <v>134</v>
      </c>
      <c r="AA8" t="s">
        <v>135</v>
      </c>
      <c r="AB8" t="s">
        <v>65</v>
      </c>
      <c r="AC8" t="s">
        <v>136</v>
      </c>
      <c r="AD8" t="s">
        <v>137</v>
      </c>
      <c r="AE8" t="s">
        <v>98</v>
      </c>
      <c r="AF8" t="s">
        <v>77</v>
      </c>
      <c r="AG8" t="s">
        <v>136</v>
      </c>
      <c r="AH8" t="s">
        <v>137</v>
      </c>
      <c r="AI8" t="s">
        <v>73</v>
      </c>
      <c r="AJ8" t="s">
        <v>77</v>
      </c>
      <c r="AK8" t="s">
        <v>136</v>
      </c>
      <c r="AL8" t="s">
        <v>137</v>
      </c>
      <c r="AM8" t="s">
        <v>76</v>
      </c>
      <c r="AN8" t="s">
        <v>77</v>
      </c>
      <c r="AO8" t="s">
        <v>138</v>
      </c>
      <c r="AP8" t="s">
        <v>139</v>
      </c>
      <c r="AQ8" t="s">
        <v>80</v>
      </c>
      <c r="AR8" t="s">
        <v>70</v>
      </c>
      <c r="AS8" t="s">
        <v>140</v>
      </c>
      <c r="AT8" t="s">
        <v>141</v>
      </c>
      <c r="AU8" t="s">
        <v>83</v>
      </c>
      <c r="AV8" t="s">
        <v>142</v>
      </c>
      <c r="AW8" t="str">
        <f>"3400771"</f>
        <v>3400771</v>
      </c>
    </row>
    <row r="9" spans="1:49">
      <c r="A9" t="str">
        <f>"01"</f>
        <v>01</v>
      </c>
      <c r="B9" t="s">
        <v>85</v>
      </c>
      <c r="C9" t="str">
        <f>"0125"</f>
        <v>0125</v>
      </c>
      <c r="D9" t="s">
        <v>143</v>
      </c>
      <c r="F9" t="s">
        <v>65</v>
      </c>
      <c r="G9" t="s">
        <v>144</v>
      </c>
      <c r="H9" t="s">
        <v>145</v>
      </c>
      <c r="I9" t="s">
        <v>89</v>
      </c>
      <c r="J9" s="2" t="s">
        <v>146</v>
      </c>
      <c r="K9" t="s">
        <v>147</v>
      </c>
      <c r="L9" t="s">
        <v>60</v>
      </c>
      <c r="M9" t="s">
        <v>148</v>
      </c>
      <c r="N9" t="s">
        <v>62</v>
      </c>
      <c r="O9" t="str">
        <f>"08330"</f>
        <v>08330</v>
      </c>
      <c r="P9" t="s">
        <v>147</v>
      </c>
      <c r="S9" t="s">
        <v>148</v>
      </c>
      <c r="T9" t="s">
        <v>62</v>
      </c>
      <c r="U9" t="str">
        <f>"08330"</f>
        <v>08330</v>
      </c>
      <c r="W9" t="s">
        <v>149</v>
      </c>
      <c r="X9" t="s">
        <v>70</v>
      </c>
      <c r="Y9" t="s">
        <v>150</v>
      </c>
      <c r="Z9" t="s">
        <v>151</v>
      </c>
      <c r="AA9" t="s">
        <v>135</v>
      </c>
      <c r="AB9" t="s">
        <v>65</v>
      </c>
      <c r="AC9" t="s">
        <v>152</v>
      </c>
      <c r="AD9" t="s">
        <v>153</v>
      </c>
      <c r="AE9" t="s">
        <v>154</v>
      </c>
      <c r="AF9" t="s">
        <v>54</v>
      </c>
      <c r="AG9" t="s">
        <v>155</v>
      </c>
      <c r="AH9" t="s">
        <v>156</v>
      </c>
      <c r="AI9" t="s">
        <v>73</v>
      </c>
      <c r="AJ9" t="s">
        <v>54</v>
      </c>
      <c r="AK9" t="s">
        <v>155</v>
      </c>
      <c r="AL9" t="s">
        <v>156</v>
      </c>
      <c r="AM9" t="s">
        <v>76</v>
      </c>
      <c r="AR9" t="s">
        <v>65</v>
      </c>
      <c r="AS9" t="s">
        <v>144</v>
      </c>
      <c r="AT9" t="s">
        <v>145</v>
      </c>
      <c r="AU9" t="s">
        <v>83</v>
      </c>
      <c r="AV9" t="s">
        <v>157</v>
      </c>
      <c r="AW9" t="str">
        <f>"3400006"</f>
        <v>3400006</v>
      </c>
    </row>
    <row r="10" spans="1:49">
      <c r="A10" t="str">
        <f>"01"</f>
        <v>01</v>
      </c>
      <c r="B10" t="s">
        <v>85</v>
      </c>
      <c r="C10" t="str">
        <f>"0120"</f>
        <v>0120</v>
      </c>
      <c r="D10" t="s">
        <v>158</v>
      </c>
      <c r="F10" t="s">
        <v>65</v>
      </c>
      <c r="G10" t="s">
        <v>144</v>
      </c>
      <c r="H10" t="s">
        <v>145</v>
      </c>
      <c r="I10" t="s">
        <v>89</v>
      </c>
      <c r="J10" s="2" t="s">
        <v>146</v>
      </c>
      <c r="K10" t="s">
        <v>159</v>
      </c>
      <c r="L10" t="s">
        <v>60</v>
      </c>
      <c r="M10" t="s">
        <v>148</v>
      </c>
      <c r="N10" t="s">
        <v>62</v>
      </c>
      <c r="O10" t="str">
        <f>"08330"</f>
        <v>08330</v>
      </c>
      <c r="P10" t="s">
        <v>159</v>
      </c>
      <c r="S10" t="s">
        <v>148</v>
      </c>
      <c r="T10" t="s">
        <v>62</v>
      </c>
      <c r="U10" t="str">
        <f>"08330"</f>
        <v>08330</v>
      </c>
      <c r="W10" t="s">
        <v>160</v>
      </c>
      <c r="X10" t="s">
        <v>70</v>
      </c>
      <c r="Y10" t="s">
        <v>71</v>
      </c>
      <c r="Z10" t="s">
        <v>161</v>
      </c>
      <c r="AA10" t="s">
        <v>68</v>
      </c>
      <c r="AB10" t="s">
        <v>70</v>
      </c>
      <c r="AC10" t="s">
        <v>162</v>
      </c>
      <c r="AD10" t="s">
        <v>163</v>
      </c>
      <c r="AE10" t="s">
        <v>69</v>
      </c>
      <c r="AF10" t="s">
        <v>70</v>
      </c>
      <c r="AG10" t="s">
        <v>164</v>
      </c>
      <c r="AH10" t="s">
        <v>165</v>
      </c>
      <c r="AI10" t="s">
        <v>73</v>
      </c>
      <c r="AJ10" t="s">
        <v>70</v>
      </c>
      <c r="AK10" t="s">
        <v>164</v>
      </c>
      <c r="AL10" t="s">
        <v>165</v>
      </c>
      <c r="AM10" t="s">
        <v>76</v>
      </c>
      <c r="AN10" t="s">
        <v>77</v>
      </c>
      <c r="AO10" t="s">
        <v>166</v>
      </c>
      <c r="AP10" t="s">
        <v>167</v>
      </c>
      <c r="AQ10" t="s">
        <v>80</v>
      </c>
      <c r="AR10" t="s">
        <v>65</v>
      </c>
      <c r="AS10" t="s">
        <v>144</v>
      </c>
      <c r="AT10" t="s">
        <v>145</v>
      </c>
      <c r="AU10" t="s">
        <v>83</v>
      </c>
      <c r="AV10" t="s">
        <v>168</v>
      </c>
      <c r="AW10" t="str">
        <f>"3400990"</f>
        <v>3400990</v>
      </c>
    </row>
    <row r="11" spans="1:49">
      <c r="A11" t="str">
        <f>"01"</f>
        <v>01</v>
      </c>
      <c r="B11" t="s">
        <v>85</v>
      </c>
      <c r="C11" t="str">
        <f>"0570"</f>
        <v>0570</v>
      </c>
      <c r="D11" t="s">
        <v>169</v>
      </c>
      <c r="F11" t="s">
        <v>77</v>
      </c>
      <c r="G11" t="s">
        <v>170</v>
      </c>
      <c r="H11" t="s">
        <v>171</v>
      </c>
      <c r="I11" t="s">
        <v>89</v>
      </c>
      <c r="J11" s="2" t="s">
        <v>172</v>
      </c>
      <c r="K11" t="s">
        <v>173</v>
      </c>
      <c r="L11" t="s">
        <v>174</v>
      </c>
      <c r="M11" t="s">
        <v>175</v>
      </c>
      <c r="N11" t="s">
        <v>62</v>
      </c>
      <c r="O11" t="str">
        <f>"08203"</f>
        <v>08203</v>
      </c>
      <c r="P11" t="s">
        <v>173</v>
      </c>
      <c r="Q11" t="s">
        <v>176</v>
      </c>
      <c r="S11" t="s">
        <v>175</v>
      </c>
      <c r="T11" t="s">
        <v>62</v>
      </c>
      <c r="U11" t="str">
        <f>"08203"</f>
        <v>08203</v>
      </c>
      <c r="W11" t="s">
        <v>177</v>
      </c>
      <c r="X11" t="s">
        <v>77</v>
      </c>
      <c r="Y11" t="s">
        <v>178</v>
      </c>
      <c r="Z11" t="s">
        <v>179</v>
      </c>
      <c r="AA11" t="s">
        <v>135</v>
      </c>
      <c r="AB11" t="s">
        <v>54</v>
      </c>
      <c r="AC11" t="s">
        <v>150</v>
      </c>
      <c r="AD11" t="s">
        <v>180</v>
      </c>
      <c r="AE11" t="s">
        <v>181</v>
      </c>
      <c r="AF11" t="s">
        <v>77</v>
      </c>
      <c r="AG11" t="s">
        <v>182</v>
      </c>
      <c r="AH11" t="s">
        <v>183</v>
      </c>
      <c r="AI11" t="s">
        <v>73</v>
      </c>
      <c r="AJ11" t="s">
        <v>54</v>
      </c>
      <c r="AK11" t="s">
        <v>184</v>
      </c>
      <c r="AL11" t="s">
        <v>185</v>
      </c>
      <c r="AM11" t="s">
        <v>76</v>
      </c>
      <c r="AR11" t="s">
        <v>54</v>
      </c>
      <c r="AS11" t="s">
        <v>186</v>
      </c>
      <c r="AT11" t="s">
        <v>187</v>
      </c>
      <c r="AU11" t="s">
        <v>83</v>
      </c>
      <c r="AV11" t="s">
        <v>188</v>
      </c>
      <c r="AW11" t="str">
        <f>"3402340"</f>
        <v>3402340</v>
      </c>
    </row>
    <row r="12" spans="1:49">
      <c r="A12" t="str">
        <f>"01"</f>
        <v>01</v>
      </c>
      <c r="B12" t="s">
        <v>85</v>
      </c>
      <c r="C12" t="str">
        <f>"0590"</f>
        <v>0590</v>
      </c>
      <c r="D12" t="s">
        <v>189</v>
      </c>
      <c r="F12" t="s">
        <v>77</v>
      </c>
      <c r="G12" t="s">
        <v>190</v>
      </c>
      <c r="H12" t="s">
        <v>191</v>
      </c>
      <c r="I12" t="s">
        <v>89</v>
      </c>
      <c r="J12" s="2" t="s">
        <v>192</v>
      </c>
      <c r="K12" t="s">
        <v>193</v>
      </c>
      <c r="L12" t="s">
        <v>60</v>
      </c>
      <c r="M12" t="s">
        <v>194</v>
      </c>
      <c r="N12" t="s">
        <v>62</v>
      </c>
      <c r="O12" t="str">
        <f>"08350"</f>
        <v>08350</v>
      </c>
      <c r="P12" t="s">
        <v>195</v>
      </c>
      <c r="S12" t="s">
        <v>196</v>
      </c>
      <c r="T12" t="s">
        <v>62</v>
      </c>
      <c r="U12" t="str">
        <f>"08310"</f>
        <v>08310</v>
      </c>
      <c r="W12" t="s">
        <v>197</v>
      </c>
      <c r="X12" t="s">
        <v>77</v>
      </c>
      <c r="Y12" t="s">
        <v>198</v>
      </c>
      <c r="Z12" t="s">
        <v>199</v>
      </c>
      <c r="AA12" t="s">
        <v>135</v>
      </c>
      <c r="AB12" t="s">
        <v>54</v>
      </c>
      <c r="AC12" t="s">
        <v>200</v>
      </c>
      <c r="AD12" t="s">
        <v>201</v>
      </c>
      <c r="AE12" t="s">
        <v>98</v>
      </c>
      <c r="AF12" t="s">
        <v>70</v>
      </c>
      <c r="AG12" t="s">
        <v>202</v>
      </c>
      <c r="AH12" t="s">
        <v>203</v>
      </c>
      <c r="AI12" t="s">
        <v>73</v>
      </c>
      <c r="AJ12" t="s">
        <v>54</v>
      </c>
      <c r="AK12" t="s">
        <v>204</v>
      </c>
      <c r="AL12" t="s">
        <v>205</v>
      </c>
      <c r="AM12" t="s">
        <v>76</v>
      </c>
      <c r="AN12" t="s">
        <v>77</v>
      </c>
      <c r="AO12" t="s">
        <v>206</v>
      </c>
      <c r="AP12" t="s">
        <v>207</v>
      </c>
      <c r="AQ12" t="s">
        <v>80</v>
      </c>
      <c r="AR12" t="s">
        <v>65</v>
      </c>
      <c r="AS12" t="s">
        <v>208</v>
      </c>
      <c r="AT12" t="s">
        <v>209</v>
      </c>
      <c r="AU12" t="s">
        <v>83</v>
      </c>
      <c r="AV12" t="s">
        <v>210</v>
      </c>
      <c r="AW12" t="str">
        <f>"3402400"</f>
        <v>3402400</v>
      </c>
    </row>
    <row r="13" spans="1:49">
      <c r="A13" t="str">
        <f>"80"</f>
        <v>80</v>
      </c>
      <c r="B13" t="s">
        <v>85</v>
      </c>
      <c r="C13" t="str">
        <f>"7410"</f>
        <v>7410</v>
      </c>
      <c r="D13" t="s">
        <v>211</v>
      </c>
      <c r="E13" t="str">
        <f>"940"</f>
        <v>940</v>
      </c>
      <c r="F13" t="s">
        <v>65</v>
      </c>
      <c r="G13" t="s">
        <v>212</v>
      </c>
      <c r="H13" t="s">
        <v>213</v>
      </c>
      <c r="I13" t="s">
        <v>128</v>
      </c>
      <c r="J13" s="2" t="s">
        <v>214</v>
      </c>
      <c r="K13" t="s">
        <v>215</v>
      </c>
      <c r="L13" t="s">
        <v>60</v>
      </c>
      <c r="M13" t="s">
        <v>216</v>
      </c>
      <c r="N13" t="s">
        <v>62</v>
      </c>
      <c r="O13" t="str">
        <f>"08244"</f>
        <v>08244</v>
      </c>
      <c r="P13" t="s">
        <v>215</v>
      </c>
      <c r="S13" t="s">
        <v>216</v>
      </c>
      <c r="T13" t="s">
        <v>62</v>
      </c>
      <c r="U13" t="str">
        <f>"08244"</f>
        <v>08244</v>
      </c>
      <c r="W13" t="s">
        <v>217</v>
      </c>
      <c r="X13" t="s">
        <v>70</v>
      </c>
      <c r="Y13" t="s">
        <v>218</v>
      </c>
      <c r="Z13" t="s">
        <v>219</v>
      </c>
      <c r="AA13" t="s">
        <v>135</v>
      </c>
      <c r="AB13" t="s">
        <v>54</v>
      </c>
      <c r="AC13" t="s">
        <v>116</v>
      </c>
      <c r="AD13" t="s">
        <v>220</v>
      </c>
      <c r="AE13" t="s">
        <v>69</v>
      </c>
      <c r="AF13" t="s">
        <v>54</v>
      </c>
      <c r="AG13" t="s">
        <v>164</v>
      </c>
      <c r="AH13" t="s">
        <v>221</v>
      </c>
      <c r="AI13" t="s">
        <v>73</v>
      </c>
      <c r="AJ13" t="s">
        <v>70</v>
      </c>
      <c r="AK13" t="s">
        <v>155</v>
      </c>
      <c r="AL13" t="s">
        <v>222</v>
      </c>
      <c r="AM13" t="s">
        <v>76</v>
      </c>
      <c r="AN13" t="s">
        <v>77</v>
      </c>
      <c r="AO13" t="s">
        <v>223</v>
      </c>
      <c r="AP13" t="s">
        <v>224</v>
      </c>
      <c r="AQ13" t="s">
        <v>80</v>
      </c>
      <c r="AR13" t="s">
        <v>65</v>
      </c>
      <c r="AS13" t="s">
        <v>212</v>
      </c>
      <c r="AT13" t="s">
        <v>213</v>
      </c>
      <c r="AU13" t="s">
        <v>83</v>
      </c>
      <c r="AV13" t="s">
        <v>225</v>
      </c>
      <c r="AW13" t="str">
        <f>"3400019"</f>
        <v>3400019</v>
      </c>
    </row>
    <row r="14" spans="1:49">
      <c r="A14" t="str">
        <f t="shared" ref="A14:A30" si="0">"01"</f>
        <v>01</v>
      </c>
      <c r="B14" t="s">
        <v>85</v>
      </c>
      <c r="C14" t="str">
        <f>"0960"</f>
        <v>0960</v>
      </c>
      <c r="D14" t="s">
        <v>226</v>
      </c>
      <c r="G14" t="s">
        <v>227</v>
      </c>
      <c r="H14" t="s">
        <v>228</v>
      </c>
      <c r="I14" t="s">
        <v>89</v>
      </c>
      <c r="K14" t="s">
        <v>229</v>
      </c>
      <c r="L14" t="s">
        <v>230</v>
      </c>
      <c r="M14" t="s">
        <v>231</v>
      </c>
      <c r="N14" t="s">
        <v>62</v>
      </c>
      <c r="O14" t="str">
        <f>"08226"</f>
        <v>08226</v>
      </c>
      <c r="P14" t="s">
        <v>229</v>
      </c>
      <c r="Q14" t="s">
        <v>232</v>
      </c>
      <c r="S14" t="s">
        <v>231</v>
      </c>
      <c r="T14" t="s">
        <v>62</v>
      </c>
      <c r="U14" t="str">
        <f>"08226"</f>
        <v>08226</v>
      </c>
      <c r="W14">
        <v>0</v>
      </c>
      <c r="X14" t="s">
        <v>54</v>
      </c>
      <c r="Y14" t="s">
        <v>233</v>
      </c>
      <c r="Z14" t="s">
        <v>234</v>
      </c>
      <c r="AA14" t="s">
        <v>135</v>
      </c>
      <c r="AC14" t="s">
        <v>227</v>
      </c>
      <c r="AD14" t="s">
        <v>228</v>
      </c>
      <c r="AE14" t="s">
        <v>181</v>
      </c>
      <c r="AG14" t="s">
        <v>227</v>
      </c>
      <c r="AH14" t="s">
        <v>228</v>
      </c>
      <c r="AI14" t="s">
        <v>73</v>
      </c>
      <c r="AK14" t="s">
        <v>227</v>
      </c>
      <c r="AL14" t="s">
        <v>228</v>
      </c>
      <c r="AM14" t="s">
        <v>76</v>
      </c>
      <c r="AO14" t="s">
        <v>227</v>
      </c>
      <c r="AP14" t="s">
        <v>228</v>
      </c>
      <c r="AQ14" t="s">
        <v>80</v>
      </c>
      <c r="AS14" t="s">
        <v>227</v>
      </c>
      <c r="AT14" t="s">
        <v>228</v>
      </c>
      <c r="AU14" t="s">
        <v>83</v>
      </c>
      <c r="AV14" t="s">
        <v>235</v>
      </c>
    </row>
    <row r="15" spans="1:49">
      <c r="A15" t="str">
        <f t="shared" si="0"/>
        <v>01</v>
      </c>
      <c r="B15" t="s">
        <v>85</v>
      </c>
      <c r="C15" t="str">
        <f>"1300"</f>
        <v>1300</v>
      </c>
      <c r="D15" t="s">
        <v>236</v>
      </c>
      <c r="F15" t="s">
        <v>54</v>
      </c>
      <c r="G15" t="s">
        <v>237</v>
      </c>
      <c r="H15" t="s">
        <v>238</v>
      </c>
      <c r="I15" t="s">
        <v>89</v>
      </c>
      <c r="J15" s="2" t="s">
        <v>239</v>
      </c>
      <c r="K15" t="s">
        <v>240</v>
      </c>
      <c r="L15" t="s">
        <v>60</v>
      </c>
      <c r="M15" t="s">
        <v>241</v>
      </c>
      <c r="N15" t="s">
        <v>62</v>
      </c>
      <c r="O15" t="str">
        <f>"08215"</f>
        <v>08215</v>
      </c>
      <c r="P15" t="s">
        <v>240</v>
      </c>
      <c r="S15" t="s">
        <v>241</v>
      </c>
      <c r="T15" t="s">
        <v>62</v>
      </c>
      <c r="U15" t="str">
        <f>"08215"</f>
        <v>08215</v>
      </c>
      <c r="W15" t="s">
        <v>242</v>
      </c>
      <c r="X15" t="s">
        <v>77</v>
      </c>
      <c r="Y15" t="s">
        <v>243</v>
      </c>
      <c r="Z15" t="s">
        <v>244</v>
      </c>
      <c r="AA15" t="s">
        <v>68</v>
      </c>
      <c r="AB15" t="s">
        <v>65</v>
      </c>
      <c r="AC15" t="s">
        <v>245</v>
      </c>
      <c r="AD15" t="s">
        <v>246</v>
      </c>
      <c r="AE15" t="s">
        <v>181</v>
      </c>
      <c r="AF15" t="s">
        <v>54</v>
      </c>
      <c r="AG15" t="s">
        <v>155</v>
      </c>
      <c r="AH15" t="s">
        <v>247</v>
      </c>
      <c r="AI15" t="s">
        <v>73</v>
      </c>
      <c r="AJ15" t="s">
        <v>54</v>
      </c>
      <c r="AK15" t="s">
        <v>237</v>
      </c>
      <c r="AL15" t="s">
        <v>238</v>
      </c>
      <c r="AM15" t="s">
        <v>76</v>
      </c>
      <c r="AN15" t="s">
        <v>77</v>
      </c>
      <c r="AO15" t="s">
        <v>206</v>
      </c>
      <c r="AP15" t="s">
        <v>248</v>
      </c>
      <c r="AQ15" t="s">
        <v>80</v>
      </c>
      <c r="AR15" t="s">
        <v>54</v>
      </c>
      <c r="AS15" t="s">
        <v>237</v>
      </c>
      <c r="AT15" t="s">
        <v>238</v>
      </c>
      <c r="AU15" t="s">
        <v>83</v>
      </c>
      <c r="AV15" t="s">
        <v>249</v>
      </c>
      <c r="AW15" t="str">
        <f>"3404530"</f>
        <v>3404530</v>
      </c>
    </row>
    <row r="16" spans="1:49">
      <c r="A16" t="str">
        <f t="shared" si="0"/>
        <v>01</v>
      </c>
      <c r="B16" t="s">
        <v>85</v>
      </c>
      <c r="C16" t="str">
        <f>"1310"</f>
        <v>1310</v>
      </c>
      <c r="D16" t="s">
        <v>250</v>
      </c>
      <c r="F16" t="s">
        <v>65</v>
      </c>
      <c r="G16" t="s">
        <v>251</v>
      </c>
      <c r="H16" t="s">
        <v>252</v>
      </c>
      <c r="I16" t="s">
        <v>89</v>
      </c>
      <c r="J16" s="2" t="s">
        <v>253</v>
      </c>
      <c r="K16" t="s">
        <v>254</v>
      </c>
      <c r="L16" t="s">
        <v>60</v>
      </c>
      <c r="M16" t="s">
        <v>255</v>
      </c>
      <c r="N16" t="s">
        <v>62</v>
      </c>
      <c r="O16" t="str">
        <f>"08234"</f>
        <v>08234</v>
      </c>
      <c r="P16" t="s">
        <v>254</v>
      </c>
      <c r="S16" t="s">
        <v>255</v>
      </c>
      <c r="T16" t="s">
        <v>62</v>
      </c>
      <c r="U16" t="str">
        <f>"08234"</f>
        <v>08234</v>
      </c>
      <c r="W16" t="s">
        <v>256</v>
      </c>
      <c r="Y16" t="s">
        <v>257</v>
      </c>
      <c r="Z16" t="s">
        <v>258</v>
      </c>
      <c r="AA16" t="s">
        <v>68</v>
      </c>
      <c r="AC16" t="s">
        <v>259</v>
      </c>
      <c r="AD16" t="s">
        <v>260</v>
      </c>
      <c r="AE16" t="s">
        <v>98</v>
      </c>
      <c r="AG16" t="s">
        <v>78</v>
      </c>
      <c r="AH16" t="s">
        <v>261</v>
      </c>
      <c r="AI16" t="s">
        <v>73</v>
      </c>
      <c r="AK16" t="s">
        <v>262</v>
      </c>
      <c r="AL16" t="s">
        <v>263</v>
      </c>
      <c r="AM16" t="s">
        <v>76</v>
      </c>
      <c r="AS16" t="s">
        <v>78</v>
      </c>
      <c r="AT16" t="s">
        <v>261</v>
      </c>
      <c r="AU16" t="s">
        <v>83</v>
      </c>
      <c r="AV16" t="s">
        <v>264</v>
      </c>
      <c r="AW16" t="str">
        <f>"3404560"</f>
        <v>3404560</v>
      </c>
    </row>
    <row r="17" spans="1:49">
      <c r="A17" t="str">
        <f t="shared" si="0"/>
        <v>01</v>
      </c>
      <c r="B17" t="s">
        <v>85</v>
      </c>
      <c r="C17" t="str">
        <f>"1410"</f>
        <v>1410</v>
      </c>
      <c r="D17" t="s">
        <v>265</v>
      </c>
      <c r="F17" t="s">
        <v>54</v>
      </c>
      <c r="G17" t="s">
        <v>266</v>
      </c>
      <c r="H17" t="s">
        <v>267</v>
      </c>
      <c r="I17" t="s">
        <v>57</v>
      </c>
      <c r="J17" s="2" t="s">
        <v>268</v>
      </c>
      <c r="K17" t="s">
        <v>269</v>
      </c>
      <c r="L17" t="s">
        <v>60</v>
      </c>
      <c r="M17" t="s">
        <v>270</v>
      </c>
      <c r="N17" t="s">
        <v>62</v>
      </c>
      <c r="O17" t="s">
        <v>271</v>
      </c>
      <c r="P17" t="s">
        <v>269</v>
      </c>
      <c r="S17" t="s">
        <v>270</v>
      </c>
      <c r="T17" t="s">
        <v>62</v>
      </c>
      <c r="U17" t="str">
        <f>"08319"</f>
        <v>08319</v>
      </c>
      <c r="V17" t="str">
        <f>"1735"</f>
        <v>1735</v>
      </c>
      <c r="W17" t="s">
        <v>272</v>
      </c>
      <c r="X17" t="s">
        <v>77</v>
      </c>
      <c r="Y17" t="s">
        <v>273</v>
      </c>
      <c r="Z17" t="s">
        <v>274</v>
      </c>
      <c r="AA17" t="s">
        <v>135</v>
      </c>
      <c r="AB17" t="s">
        <v>54</v>
      </c>
      <c r="AC17" t="s">
        <v>275</v>
      </c>
      <c r="AD17" t="s">
        <v>276</v>
      </c>
      <c r="AE17" t="s">
        <v>181</v>
      </c>
      <c r="AF17" t="s">
        <v>54</v>
      </c>
      <c r="AG17" t="s">
        <v>266</v>
      </c>
      <c r="AH17" t="s">
        <v>267</v>
      </c>
      <c r="AI17" t="s">
        <v>73</v>
      </c>
      <c r="AJ17" t="s">
        <v>54</v>
      </c>
      <c r="AK17" t="s">
        <v>277</v>
      </c>
      <c r="AL17" t="s">
        <v>278</v>
      </c>
      <c r="AM17" t="s">
        <v>76</v>
      </c>
      <c r="AN17" t="s">
        <v>54</v>
      </c>
      <c r="AO17" t="s">
        <v>266</v>
      </c>
      <c r="AP17" t="s">
        <v>267</v>
      </c>
      <c r="AQ17" t="s">
        <v>80</v>
      </c>
      <c r="AR17" t="s">
        <v>77</v>
      </c>
      <c r="AS17" t="s">
        <v>273</v>
      </c>
      <c r="AT17" t="s">
        <v>274</v>
      </c>
      <c r="AU17" t="s">
        <v>83</v>
      </c>
      <c r="AV17" t="s">
        <v>279</v>
      </c>
      <c r="AW17" t="str">
        <f>"3404860"</f>
        <v>3404860</v>
      </c>
    </row>
    <row r="18" spans="1:49">
      <c r="A18" t="str">
        <f t="shared" si="0"/>
        <v>01</v>
      </c>
      <c r="B18" t="s">
        <v>85</v>
      </c>
      <c r="C18" t="str">
        <f>"1540"</f>
        <v>1540</v>
      </c>
      <c r="D18" t="s">
        <v>280</v>
      </c>
      <c r="F18" t="s">
        <v>65</v>
      </c>
      <c r="G18" t="s">
        <v>281</v>
      </c>
      <c r="H18" t="s">
        <v>282</v>
      </c>
      <c r="I18" t="s">
        <v>89</v>
      </c>
      <c r="J18" s="2" t="s">
        <v>283</v>
      </c>
      <c r="K18" t="s">
        <v>284</v>
      </c>
      <c r="L18" t="s">
        <v>60</v>
      </c>
      <c r="M18" t="s">
        <v>285</v>
      </c>
      <c r="N18" t="s">
        <v>62</v>
      </c>
      <c r="O18" t="str">
        <f>"08037"</f>
        <v>08037</v>
      </c>
      <c r="P18" t="s">
        <v>284</v>
      </c>
      <c r="S18" t="s">
        <v>285</v>
      </c>
      <c r="T18" t="s">
        <v>62</v>
      </c>
      <c r="U18" t="str">
        <f>"08037"</f>
        <v>08037</v>
      </c>
      <c r="W18" t="s">
        <v>286</v>
      </c>
      <c r="X18" t="s">
        <v>77</v>
      </c>
      <c r="Y18" t="s">
        <v>287</v>
      </c>
      <c r="Z18" t="s">
        <v>288</v>
      </c>
      <c r="AA18" t="s">
        <v>135</v>
      </c>
      <c r="AB18" t="s">
        <v>54</v>
      </c>
      <c r="AC18" t="s">
        <v>289</v>
      </c>
      <c r="AD18" t="s">
        <v>290</v>
      </c>
      <c r="AE18" t="s">
        <v>98</v>
      </c>
      <c r="AF18" t="s">
        <v>54</v>
      </c>
      <c r="AG18" t="s">
        <v>291</v>
      </c>
      <c r="AH18" t="s">
        <v>292</v>
      </c>
      <c r="AI18" t="s">
        <v>73</v>
      </c>
      <c r="AJ18" t="s">
        <v>54</v>
      </c>
      <c r="AK18" t="s">
        <v>291</v>
      </c>
      <c r="AL18" t="s">
        <v>292</v>
      </c>
      <c r="AM18" t="s">
        <v>76</v>
      </c>
      <c r="AN18" t="s">
        <v>77</v>
      </c>
      <c r="AO18" t="s">
        <v>293</v>
      </c>
      <c r="AP18" t="s">
        <v>294</v>
      </c>
      <c r="AQ18" t="s">
        <v>80</v>
      </c>
      <c r="AR18" t="s">
        <v>77</v>
      </c>
      <c r="AS18" t="s">
        <v>287</v>
      </c>
      <c r="AT18" t="s">
        <v>288</v>
      </c>
      <c r="AU18" t="s">
        <v>83</v>
      </c>
      <c r="AV18" t="s">
        <v>295</v>
      </c>
      <c r="AW18" t="str">
        <f>"3405280"</f>
        <v>3405280</v>
      </c>
    </row>
    <row r="19" spans="1:49">
      <c r="A19" t="str">
        <f t="shared" si="0"/>
        <v>01</v>
      </c>
      <c r="B19" t="s">
        <v>85</v>
      </c>
      <c r="C19" t="str">
        <f>"1690"</f>
        <v>1690</v>
      </c>
      <c r="D19" t="s">
        <v>296</v>
      </c>
      <c r="G19" t="s">
        <v>297</v>
      </c>
      <c r="H19" t="s">
        <v>298</v>
      </c>
      <c r="I19" t="s">
        <v>89</v>
      </c>
      <c r="J19" s="2" t="s">
        <v>299</v>
      </c>
      <c r="K19" t="s">
        <v>300</v>
      </c>
      <c r="L19" t="s">
        <v>60</v>
      </c>
      <c r="M19" t="s">
        <v>301</v>
      </c>
      <c r="N19" t="s">
        <v>62</v>
      </c>
      <c r="O19" t="str">
        <f>"08205"</f>
        <v>08205</v>
      </c>
      <c r="P19" t="s">
        <v>300</v>
      </c>
      <c r="S19" t="s">
        <v>301</v>
      </c>
      <c r="T19" t="s">
        <v>62</v>
      </c>
      <c r="U19" t="str">
        <f>"08205"</f>
        <v>08205</v>
      </c>
      <c r="W19" t="s">
        <v>302</v>
      </c>
      <c r="Y19" t="s">
        <v>303</v>
      </c>
      <c r="Z19" t="s">
        <v>304</v>
      </c>
      <c r="AA19" t="s">
        <v>112</v>
      </c>
      <c r="AC19" t="s">
        <v>155</v>
      </c>
      <c r="AD19" t="s">
        <v>305</v>
      </c>
      <c r="AE19" t="s">
        <v>98</v>
      </c>
      <c r="AG19" t="s">
        <v>306</v>
      </c>
      <c r="AH19" t="s">
        <v>307</v>
      </c>
      <c r="AI19" t="s">
        <v>73</v>
      </c>
      <c r="AK19" t="s">
        <v>308</v>
      </c>
      <c r="AL19" t="s">
        <v>309</v>
      </c>
      <c r="AM19" t="s">
        <v>76</v>
      </c>
      <c r="AO19" t="s">
        <v>310</v>
      </c>
      <c r="AP19" t="s">
        <v>311</v>
      </c>
      <c r="AQ19" t="s">
        <v>80</v>
      </c>
      <c r="AS19" t="s">
        <v>297</v>
      </c>
      <c r="AT19" t="s">
        <v>298</v>
      </c>
      <c r="AU19" t="s">
        <v>83</v>
      </c>
      <c r="AV19" t="s">
        <v>312</v>
      </c>
      <c r="AW19" t="str">
        <f>"3405730"</f>
        <v>3405730</v>
      </c>
    </row>
    <row r="20" spans="1:49">
      <c r="A20" t="str">
        <f t="shared" si="0"/>
        <v>01</v>
      </c>
      <c r="B20" t="s">
        <v>85</v>
      </c>
      <c r="C20" t="str">
        <f>"1790"</f>
        <v>1790</v>
      </c>
      <c r="D20" t="s">
        <v>313</v>
      </c>
      <c r="F20" t="s">
        <v>77</v>
      </c>
      <c r="G20" t="s">
        <v>182</v>
      </c>
      <c r="H20" t="s">
        <v>314</v>
      </c>
      <c r="I20" t="s">
        <v>89</v>
      </c>
      <c r="J20" s="2" t="s">
        <v>315</v>
      </c>
      <c r="K20" t="s">
        <v>316</v>
      </c>
      <c r="L20" t="s">
        <v>60</v>
      </c>
      <c r="M20" t="s">
        <v>148</v>
      </c>
      <c r="N20" t="s">
        <v>62</v>
      </c>
      <c r="O20" t="s">
        <v>317</v>
      </c>
      <c r="P20" t="s">
        <v>316</v>
      </c>
      <c r="S20" t="s">
        <v>148</v>
      </c>
      <c r="T20" t="s">
        <v>62</v>
      </c>
      <c r="U20" t="str">
        <f>"08330"</f>
        <v>08330</v>
      </c>
      <c r="V20" t="str">
        <f>"2640"</f>
        <v>2640</v>
      </c>
      <c r="W20" t="s">
        <v>318</v>
      </c>
      <c r="X20" t="s">
        <v>77</v>
      </c>
      <c r="Y20" t="s">
        <v>319</v>
      </c>
      <c r="Z20" t="s">
        <v>320</v>
      </c>
      <c r="AA20" t="s">
        <v>112</v>
      </c>
      <c r="AB20" t="s">
        <v>70</v>
      </c>
      <c r="AC20" t="s">
        <v>321</v>
      </c>
      <c r="AD20" t="s">
        <v>322</v>
      </c>
      <c r="AE20" t="s">
        <v>98</v>
      </c>
      <c r="AF20" t="s">
        <v>70</v>
      </c>
      <c r="AG20" t="s">
        <v>323</v>
      </c>
      <c r="AH20" t="s">
        <v>324</v>
      </c>
      <c r="AI20" t="s">
        <v>73</v>
      </c>
      <c r="AJ20" t="s">
        <v>54</v>
      </c>
      <c r="AK20" t="s">
        <v>323</v>
      </c>
      <c r="AL20" t="s">
        <v>324</v>
      </c>
      <c r="AM20" t="s">
        <v>76</v>
      </c>
      <c r="AN20" t="s">
        <v>77</v>
      </c>
      <c r="AO20" t="s">
        <v>190</v>
      </c>
      <c r="AP20" t="s">
        <v>325</v>
      </c>
      <c r="AQ20" t="s">
        <v>80</v>
      </c>
      <c r="AR20" t="s">
        <v>77</v>
      </c>
      <c r="AS20" t="s">
        <v>182</v>
      </c>
      <c r="AT20" t="s">
        <v>314</v>
      </c>
      <c r="AU20" t="s">
        <v>83</v>
      </c>
      <c r="AV20" t="s">
        <v>326</v>
      </c>
      <c r="AW20" t="str">
        <f>"3406060"</f>
        <v>3406060</v>
      </c>
    </row>
    <row r="21" spans="1:49">
      <c r="A21" t="str">
        <f t="shared" si="0"/>
        <v>01</v>
      </c>
      <c r="B21" t="s">
        <v>85</v>
      </c>
      <c r="C21" t="str">
        <f>"1940"</f>
        <v>1940</v>
      </c>
      <c r="D21" t="s">
        <v>327</v>
      </c>
      <c r="F21" t="s">
        <v>77</v>
      </c>
      <c r="G21" t="s">
        <v>328</v>
      </c>
      <c r="H21" t="s">
        <v>329</v>
      </c>
      <c r="I21" t="s">
        <v>57</v>
      </c>
      <c r="J21" s="2" t="s">
        <v>330</v>
      </c>
      <c r="K21" t="s">
        <v>331</v>
      </c>
      <c r="L21" t="s">
        <v>60</v>
      </c>
      <c r="M21" t="s">
        <v>332</v>
      </c>
      <c r="N21" t="s">
        <v>62</v>
      </c>
      <c r="O21" t="str">
        <f>"08330"</f>
        <v>08330</v>
      </c>
      <c r="P21" t="s">
        <v>331</v>
      </c>
      <c r="S21" t="s">
        <v>332</v>
      </c>
      <c r="T21" t="s">
        <v>62</v>
      </c>
      <c r="U21" t="str">
        <f>"08330"</f>
        <v>08330</v>
      </c>
      <c r="W21" t="s">
        <v>333</v>
      </c>
      <c r="X21" t="s">
        <v>54</v>
      </c>
      <c r="Y21" t="s">
        <v>334</v>
      </c>
      <c r="Z21" t="s">
        <v>335</v>
      </c>
      <c r="AA21" t="s">
        <v>135</v>
      </c>
      <c r="AB21" t="s">
        <v>54</v>
      </c>
      <c r="AC21" t="s">
        <v>336</v>
      </c>
      <c r="AD21" t="s">
        <v>337</v>
      </c>
      <c r="AE21" t="s">
        <v>181</v>
      </c>
      <c r="AF21" t="s">
        <v>77</v>
      </c>
      <c r="AG21" t="s">
        <v>338</v>
      </c>
      <c r="AH21" t="s">
        <v>339</v>
      </c>
      <c r="AI21" t="s">
        <v>73</v>
      </c>
      <c r="AJ21" t="s">
        <v>54</v>
      </c>
      <c r="AK21" t="s">
        <v>340</v>
      </c>
      <c r="AL21" t="s">
        <v>341</v>
      </c>
      <c r="AM21" t="s">
        <v>76</v>
      </c>
      <c r="AN21" t="s">
        <v>77</v>
      </c>
      <c r="AO21" t="s">
        <v>166</v>
      </c>
      <c r="AP21" t="s">
        <v>342</v>
      </c>
      <c r="AQ21" t="s">
        <v>80</v>
      </c>
      <c r="AR21" t="s">
        <v>77</v>
      </c>
      <c r="AS21" t="s">
        <v>343</v>
      </c>
      <c r="AT21" t="s">
        <v>344</v>
      </c>
      <c r="AU21" t="s">
        <v>83</v>
      </c>
      <c r="AV21" t="s">
        <v>345</v>
      </c>
      <c r="AW21" t="str">
        <f>"3406510"</f>
        <v>3406510</v>
      </c>
    </row>
    <row r="22" spans="1:49">
      <c r="A22" t="str">
        <f t="shared" si="0"/>
        <v>01</v>
      </c>
      <c r="B22" t="s">
        <v>85</v>
      </c>
      <c r="C22" t="str">
        <f>"1960"</f>
        <v>1960</v>
      </c>
      <c r="D22" t="s">
        <v>346</v>
      </c>
      <c r="F22" t="s">
        <v>70</v>
      </c>
      <c r="G22" t="s">
        <v>347</v>
      </c>
      <c r="H22" t="s">
        <v>348</v>
      </c>
      <c r="I22" t="s">
        <v>89</v>
      </c>
      <c r="J22" s="2" t="s">
        <v>349</v>
      </c>
      <c r="K22" t="s">
        <v>350</v>
      </c>
      <c r="L22" t="s">
        <v>60</v>
      </c>
      <c r="M22" t="s">
        <v>351</v>
      </c>
      <c r="N22" t="s">
        <v>62</v>
      </c>
      <c r="O22" t="str">
        <f>"08037"</f>
        <v>08037</v>
      </c>
      <c r="P22" t="s">
        <v>350</v>
      </c>
      <c r="S22" t="s">
        <v>351</v>
      </c>
      <c r="T22" t="s">
        <v>62</v>
      </c>
      <c r="U22" t="str">
        <f>"08037"</f>
        <v>08037</v>
      </c>
      <c r="W22" t="s">
        <v>352</v>
      </c>
      <c r="X22" t="s">
        <v>54</v>
      </c>
      <c r="Y22" t="s">
        <v>353</v>
      </c>
      <c r="Z22" t="s">
        <v>354</v>
      </c>
      <c r="AA22" t="s">
        <v>135</v>
      </c>
      <c r="AB22" t="s">
        <v>70</v>
      </c>
      <c r="AC22" t="s">
        <v>140</v>
      </c>
      <c r="AD22" t="s">
        <v>355</v>
      </c>
      <c r="AE22" t="s">
        <v>69</v>
      </c>
      <c r="AF22" t="s">
        <v>70</v>
      </c>
      <c r="AG22" t="s">
        <v>356</v>
      </c>
      <c r="AH22" t="s">
        <v>208</v>
      </c>
      <c r="AI22" t="s">
        <v>73</v>
      </c>
      <c r="AJ22" t="s">
        <v>77</v>
      </c>
      <c r="AK22" t="s">
        <v>120</v>
      </c>
      <c r="AL22" t="s">
        <v>357</v>
      </c>
      <c r="AM22" t="s">
        <v>76</v>
      </c>
      <c r="AN22" t="s">
        <v>77</v>
      </c>
      <c r="AO22" t="s">
        <v>358</v>
      </c>
      <c r="AP22" t="s">
        <v>359</v>
      </c>
      <c r="AQ22" t="s">
        <v>80</v>
      </c>
      <c r="AR22" t="s">
        <v>70</v>
      </c>
      <c r="AS22" t="s">
        <v>347</v>
      </c>
      <c r="AT22" t="s">
        <v>348</v>
      </c>
      <c r="AU22" t="s">
        <v>83</v>
      </c>
      <c r="AV22" t="s">
        <v>360</v>
      </c>
      <c r="AW22" t="str">
        <f>"3406570"</f>
        <v>3406570</v>
      </c>
    </row>
    <row r="23" spans="1:49">
      <c r="A23" t="str">
        <f t="shared" si="0"/>
        <v>01</v>
      </c>
      <c r="B23" t="s">
        <v>85</v>
      </c>
      <c r="C23" t="str">
        <f>"2680"</f>
        <v>2680</v>
      </c>
      <c r="D23" t="s">
        <v>361</v>
      </c>
      <c r="F23" t="s">
        <v>77</v>
      </c>
      <c r="G23" t="s">
        <v>212</v>
      </c>
      <c r="H23" t="s">
        <v>362</v>
      </c>
      <c r="I23" t="s">
        <v>89</v>
      </c>
      <c r="J23" s="2" t="s">
        <v>363</v>
      </c>
      <c r="K23" t="s">
        <v>364</v>
      </c>
      <c r="L23" t="s">
        <v>60</v>
      </c>
      <c r="M23" t="s">
        <v>365</v>
      </c>
      <c r="N23" t="s">
        <v>62</v>
      </c>
      <c r="O23" t="str">
        <f>"08221"</f>
        <v>08221</v>
      </c>
      <c r="P23" t="s">
        <v>364</v>
      </c>
      <c r="S23" t="s">
        <v>365</v>
      </c>
      <c r="T23" t="s">
        <v>62</v>
      </c>
      <c r="U23" t="str">
        <f>"08221"</f>
        <v>08221</v>
      </c>
      <c r="W23" t="s">
        <v>366</v>
      </c>
      <c r="X23" t="s">
        <v>77</v>
      </c>
      <c r="Y23" t="s">
        <v>367</v>
      </c>
      <c r="Z23" t="s">
        <v>368</v>
      </c>
      <c r="AA23" t="s">
        <v>112</v>
      </c>
      <c r="AB23" t="s">
        <v>70</v>
      </c>
      <c r="AC23" t="s">
        <v>369</v>
      </c>
      <c r="AD23" t="s">
        <v>370</v>
      </c>
      <c r="AE23" t="s">
        <v>69</v>
      </c>
      <c r="AF23" t="s">
        <v>54</v>
      </c>
      <c r="AG23" t="s">
        <v>369</v>
      </c>
      <c r="AH23" t="s">
        <v>370</v>
      </c>
      <c r="AI23" t="s">
        <v>73</v>
      </c>
      <c r="AJ23" t="s">
        <v>70</v>
      </c>
      <c r="AK23" t="s">
        <v>371</v>
      </c>
      <c r="AL23" t="s">
        <v>372</v>
      </c>
      <c r="AM23" t="s">
        <v>76</v>
      </c>
      <c r="AN23" t="s">
        <v>77</v>
      </c>
      <c r="AO23" t="s">
        <v>373</v>
      </c>
      <c r="AP23" t="s">
        <v>374</v>
      </c>
      <c r="AQ23" t="s">
        <v>80</v>
      </c>
      <c r="AR23" t="s">
        <v>77</v>
      </c>
      <c r="AS23" t="s">
        <v>212</v>
      </c>
      <c r="AT23" t="s">
        <v>362</v>
      </c>
      <c r="AU23" t="s">
        <v>83</v>
      </c>
      <c r="AV23" t="s">
        <v>375</v>
      </c>
      <c r="AW23" t="str">
        <f>"3408670"</f>
        <v>3408670</v>
      </c>
    </row>
    <row r="24" spans="1:49">
      <c r="A24" t="str">
        <f t="shared" si="0"/>
        <v>01</v>
      </c>
      <c r="B24" t="s">
        <v>85</v>
      </c>
      <c r="C24" t="str">
        <f>"2780"</f>
        <v>2780</v>
      </c>
      <c r="D24" t="s">
        <v>376</v>
      </c>
      <c r="G24" t="s">
        <v>377</v>
      </c>
      <c r="H24" t="s">
        <v>378</v>
      </c>
      <c r="I24" t="s">
        <v>57</v>
      </c>
      <c r="J24" s="2" t="s">
        <v>379</v>
      </c>
      <c r="K24" t="s">
        <v>380</v>
      </c>
      <c r="L24" t="s">
        <v>60</v>
      </c>
      <c r="M24" t="s">
        <v>381</v>
      </c>
      <c r="N24" t="s">
        <v>62</v>
      </c>
      <c r="O24" t="str">
        <f>"08403"</f>
        <v>08403</v>
      </c>
      <c r="P24" t="s">
        <v>380</v>
      </c>
      <c r="S24" t="s">
        <v>381</v>
      </c>
      <c r="T24" t="s">
        <v>62</v>
      </c>
      <c r="U24" t="str">
        <f>"08403"</f>
        <v>08403</v>
      </c>
      <c r="W24" t="s">
        <v>382</v>
      </c>
      <c r="X24" t="s">
        <v>70</v>
      </c>
      <c r="Y24" t="s">
        <v>383</v>
      </c>
      <c r="Z24" t="s">
        <v>384</v>
      </c>
      <c r="AA24" t="s">
        <v>135</v>
      </c>
      <c r="AC24" t="s">
        <v>383</v>
      </c>
      <c r="AD24" t="s">
        <v>384</v>
      </c>
      <c r="AE24" t="s">
        <v>385</v>
      </c>
      <c r="AG24" t="s">
        <v>386</v>
      </c>
      <c r="AH24" t="s">
        <v>387</v>
      </c>
      <c r="AI24" t="s">
        <v>73</v>
      </c>
      <c r="AK24" t="s">
        <v>386</v>
      </c>
      <c r="AL24" t="s">
        <v>378</v>
      </c>
      <c r="AM24" t="s">
        <v>76</v>
      </c>
      <c r="AO24" t="s">
        <v>386</v>
      </c>
      <c r="AP24" t="s">
        <v>388</v>
      </c>
      <c r="AQ24" t="s">
        <v>80</v>
      </c>
      <c r="AV24" t="s">
        <v>389</v>
      </c>
    </row>
    <row r="25" spans="1:49">
      <c r="A25" t="str">
        <f t="shared" si="0"/>
        <v>01</v>
      </c>
      <c r="B25" t="s">
        <v>85</v>
      </c>
      <c r="C25" t="str">
        <f>"2910"</f>
        <v>2910</v>
      </c>
      <c r="D25" t="s">
        <v>390</v>
      </c>
      <c r="F25" t="s">
        <v>77</v>
      </c>
      <c r="G25" t="s">
        <v>391</v>
      </c>
      <c r="H25" t="s">
        <v>392</v>
      </c>
      <c r="I25" t="s">
        <v>57</v>
      </c>
      <c r="J25" s="2" t="s">
        <v>393</v>
      </c>
      <c r="K25" t="s">
        <v>394</v>
      </c>
      <c r="L25" t="s">
        <v>60</v>
      </c>
      <c r="M25" t="s">
        <v>395</v>
      </c>
      <c r="N25" t="s">
        <v>62</v>
      </c>
      <c r="O25" t="str">
        <f>"08221"</f>
        <v>08221</v>
      </c>
      <c r="P25" t="s">
        <v>394</v>
      </c>
      <c r="S25" t="s">
        <v>395</v>
      </c>
      <c r="T25" t="s">
        <v>62</v>
      </c>
      <c r="U25" t="str">
        <f>"08221"</f>
        <v>08221</v>
      </c>
      <c r="W25" t="s">
        <v>396</v>
      </c>
      <c r="X25" t="s">
        <v>70</v>
      </c>
      <c r="Y25" t="s">
        <v>397</v>
      </c>
      <c r="Z25" t="s">
        <v>398</v>
      </c>
      <c r="AA25" t="s">
        <v>135</v>
      </c>
      <c r="AB25" t="s">
        <v>70</v>
      </c>
      <c r="AC25" t="s">
        <v>399</v>
      </c>
      <c r="AD25" t="s">
        <v>400</v>
      </c>
      <c r="AE25" t="s">
        <v>69</v>
      </c>
      <c r="AF25" t="s">
        <v>65</v>
      </c>
      <c r="AG25" t="s">
        <v>397</v>
      </c>
      <c r="AH25" t="s">
        <v>401</v>
      </c>
      <c r="AI25" t="s">
        <v>73</v>
      </c>
      <c r="AJ25" t="s">
        <v>77</v>
      </c>
      <c r="AK25" t="s">
        <v>402</v>
      </c>
      <c r="AL25" t="s">
        <v>403</v>
      </c>
      <c r="AM25" t="s">
        <v>76</v>
      </c>
      <c r="AN25" t="s">
        <v>77</v>
      </c>
      <c r="AO25" t="s">
        <v>402</v>
      </c>
      <c r="AP25" t="s">
        <v>403</v>
      </c>
      <c r="AQ25" t="s">
        <v>80</v>
      </c>
      <c r="AR25" t="s">
        <v>77</v>
      </c>
      <c r="AS25" t="s">
        <v>404</v>
      </c>
      <c r="AT25" t="s">
        <v>392</v>
      </c>
      <c r="AU25" t="s">
        <v>83</v>
      </c>
      <c r="AV25" t="s">
        <v>405</v>
      </c>
      <c r="AW25" t="str">
        <f>"3409360"</f>
        <v>3409360</v>
      </c>
    </row>
    <row r="26" spans="1:49">
      <c r="A26" t="str">
        <f t="shared" si="0"/>
        <v>01</v>
      </c>
      <c r="B26" t="s">
        <v>85</v>
      </c>
      <c r="C26" t="str">
        <f>"3020"</f>
        <v>3020</v>
      </c>
      <c r="D26" t="s">
        <v>406</v>
      </c>
      <c r="F26" t="s">
        <v>65</v>
      </c>
      <c r="G26" t="s">
        <v>319</v>
      </c>
      <c r="H26" t="s">
        <v>407</v>
      </c>
      <c r="I26" t="s">
        <v>408</v>
      </c>
      <c r="J26" s="2" t="s">
        <v>409</v>
      </c>
      <c r="K26" t="s">
        <v>410</v>
      </c>
      <c r="L26" t="s">
        <v>60</v>
      </c>
      <c r="M26" t="s">
        <v>411</v>
      </c>
      <c r="N26" t="s">
        <v>62</v>
      </c>
      <c r="O26" t="str">
        <f>"08402"</f>
        <v>08402</v>
      </c>
      <c r="P26" t="s">
        <v>410</v>
      </c>
      <c r="S26" t="s">
        <v>411</v>
      </c>
      <c r="T26" t="s">
        <v>62</v>
      </c>
      <c r="U26" t="str">
        <f>"08402"</f>
        <v>08402</v>
      </c>
      <c r="W26" t="s">
        <v>412</v>
      </c>
      <c r="X26" t="s">
        <v>54</v>
      </c>
      <c r="Y26" t="s">
        <v>155</v>
      </c>
      <c r="Z26" t="s">
        <v>413</v>
      </c>
      <c r="AA26" t="s">
        <v>135</v>
      </c>
      <c r="AB26" t="s">
        <v>77</v>
      </c>
      <c r="AC26" t="s">
        <v>357</v>
      </c>
      <c r="AD26" t="s">
        <v>414</v>
      </c>
      <c r="AE26" t="s">
        <v>415</v>
      </c>
      <c r="AF26" t="s">
        <v>77</v>
      </c>
      <c r="AG26" t="s">
        <v>357</v>
      </c>
      <c r="AH26" t="s">
        <v>414</v>
      </c>
      <c r="AI26" t="s">
        <v>73</v>
      </c>
      <c r="AJ26" t="s">
        <v>54</v>
      </c>
      <c r="AK26" t="s">
        <v>416</v>
      </c>
      <c r="AL26" t="s">
        <v>417</v>
      </c>
      <c r="AM26" t="s">
        <v>76</v>
      </c>
      <c r="AN26" t="s">
        <v>77</v>
      </c>
      <c r="AO26" t="s">
        <v>418</v>
      </c>
      <c r="AP26" t="s">
        <v>419</v>
      </c>
      <c r="AQ26" t="s">
        <v>80</v>
      </c>
      <c r="AR26" t="s">
        <v>65</v>
      </c>
      <c r="AS26" t="s">
        <v>319</v>
      </c>
      <c r="AT26" t="s">
        <v>407</v>
      </c>
      <c r="AU26" t="s">
        <v>83</v>
      </c>
      <c r="AV26" t="s">
        <v>420</v>
      </c>
      <c r="AW26" t="str">
        <f>"3409690"</f>
        <v>3409690</v>
      </c>
    </row>
    <row r="27" spans="1:49">
      <c r="A27" t="str">
        <f t="shared" si="0"/>
        <v>01</v>
      </c>
      <c r="B27" t="s">
        <v>85</v>
      </c>
      <c r="C27" t="str">
        <f>"3480"</f>
        <v>3480</v>
      </c>
      <c r="D27" t="s">
        <v>421</v>
      </c>
      <c r="F27" t="s">
        <v>77</v>
      </c>
      <c r="G27" t="s">
        <v>422</v>
      </c>
      <c r="H27" t="s">
        <v>423</v>
      </c>
      <c r="I27" t="s">
        <v>89</v>
      </c>
      <c r="J27" s="2" t="s">
        <v>424</v>
      </c>
      <c r="K27" t="s">
        <v>425</v>
      </c>
      <c r="L27" t="s">
        <v>60</v>
      </c>
      <c r="M27" t="s">
        <v>426</v>
      </c>
      <c r="N27" t="s">
        <v>62</v>
      </c>
      <c r="O27" t="str">
        <f>"08217"</f>
        <v>08217</v>
      </c>
      <c r="P27" t="s">
        <v>427</v>
      </c>
      <c r="S27" t="s">
        <v>426</v>
      </c>
      <c r="T27" t="s">
        <v>62</v>
      </c>
      <c r="U27" t="str">
        <f>"08217"</f>
        <v>08217</v>
      </c>
      <c r="W27" t="s">
        <v>428</v>
      </c>
      <c r="X27" t="s">
        <v>70</v>
      </c>
      <c r="Y27" t="s">
        <v>429</v>
      </c>
      <c r="Z27" t="s">
        <v>430</v>
      </c>
      <c r="AA27" t="s">
        <v>68</v>
      </c>
      <c r="AB27" t="s">
        <v>70</v>
      </c>
      <c r="AC27" t="s">
        <v>431</v>
      </c>
      <c r="AD27" t="s">
        <v>432</v>
      </c>
      <c r="AE27" t="s">
        <v>433</v>
      </c>
      <c r="AF27" t="s">
        <v>54</v>
      </c>
      <c r="AG27" t="s">
        <v>434</v>
      </c>
      <c r="AH27" t="s">
        <v>435</v>
      </c>
      <c r="AI27" t="s">
        <v>73</v>
      </c>
      <c r="AJ27" t="s">
        <v>77</v>
      </c>
      <c r="AK27" t="s">
        <v>436</v>
      </c>
      <c r="AL27" t="s">
        <v>437</v>
      </c>
      <c r="AM27" t="s">
        <v>76</v>
      </c>
      <c r="AN27" t="s">
        <v>77</v>
      </c>
      <c r="AO27" t="s">
        <v>418</v>
      </c>
      <c r="AP27" t="s">
        <v>438</v>
      </c>
      <c r="AQ27" t="s">
        <v>80</v>
      </c>
      <c r="AR27" t="s">
        <v>77</v>
      </c>
      <c r="AS27" t="s">
        <v>422</v>
      </c>
      <c r="AT27" t="s">
        <v>423</v>
      </c>
      <c r="AU27" t="s">
        <v>83</v>
      </c>
      <c r="AV27" t="s">
        <v>439</v>
      </c>
      <c r="AW27" t="str">
        <f>"3411070"</f>
        <v>3411070</v>
      </c>
    </row>
    <row r="28" spans="1:49">
      <c r="A28" t="str">
        <f t="shared" si="0"/>
        <v>01</v>
      </c>
      <c r="B28" t="s">
        <v>85</v>
      </c>
      <c r="C28" t="str">
        <f>"3720"</f>
        <v>3720</v>
      </c>
      <c r="D28" t="s">
        <v>440</v>
      </c>
      <c r="F28" t="s">
        <v>77</v>
      </c>
      <c r="G28" t="s">
        <v>441</v>
      </c>
      <c r="H28" t="s">
        <v>442</v>
      </c>
      <c r="I28" t="s">
        <v>89</v>
      </c>
      <c r="J28" s="2" t="s">
        <v>443</v>
      </c>
      <c r="K28" t="s">
        <v>444</v>
      </c>
      <c r="L28" t="s">
        <v>60</v>
      </c>
      <c r="M28" t="s">
        <v>445</v>
      </c>
      <c r="N28" t="s">
        <v>62</v>
      </c>
      <c r="O28" t="str">
        <f>"08225"</f>
        <v>08225</v>
      </c>
      <c r="P28" t="s">
        <v>444</v>
      </c>
      <c r="S28" t="s">
        <v>445</v>
      </c>
      <c r="T28" t="s">
        <v>62</v>
      </c>
      <c r="U28" t="str">
        <f>"08225"</f>
        <v>08225</v>
      </c>
      <c r="W28" t="s">
        <v>446</v>
      </c>
      <c r="X28" t="s">
        <v>54</v>
      </c>
      <c r="Y28" t="s">
        <v>447</v>
      </c>
      <c r="Z28" t="s">
        <v>448</v>
      </c>
      <c r="AA28" t="s">
        <v>135</v>
      </c>
      <c r="AB28" t="s">
        <v>54</v>
      </c>
      <c r="AC28" t="s">
        <v>449</v>
      </c>
      <c r="AD28" t="s">
        <v>450</v>
      </c>
      <c r="AE28" t="s">
        <v>433</v>
      </c>
      <c r="AF28" t="s">
        <v>77</v>
      </c>
      <c r="AG28" t="s">
        <v>367</v>
      </c>
      <c r="AH28" t="s">
        <v>451</v>
      </c>
      <c r="AI28" t="s">
        <v>73</v>
      </c>
      <c r="AJ28" t="s">
        <v>54</v>
      </c>
      <c r="AK28" t="s">
        <v>452</v>
      </c>
      <c r="AL28" t="s">
        <v>453</v>
      </c>
      <c r="AM28" t="s">
        <v>76</v>
      </c>
      <c r="AN28" t="s">
        <v>77</v>
      </c>
      <c r="AO28" t="s">
        <v>328</v>
      </c>
      <c r="AP28" t="s">
        <v>454</v>
      </c>
      <c r="AQ28" t="s">
        <v>80</v>
      </c>
      <c r="AR28" t="s">
        <v>77</v>
      </c>
      <c r="AS28" t="s">
        <v>441</v>
      </c>
      <c r="AT28" t="s">
        <v>442</v>
      </c>
      <c r="AU28" t="s">
        <v>83</v>
      </c>
      <c r="AV28" t="s">
        <v>455</v>
      </c>
      <c r="AW28" t="str">
        <f>"3411790"</f>
        <v>3411790</v>
      </c>
    </row>
    <row r="29" spans="1:49">
      <c r="A29" t="str">
        <f t="shared" si="0"/>
        <v>01</v>
      </c>
      <c r="B29" t="s">
        <v>85</v>
      </c>
      <c r="C29" t="str">
        <f>"4180"</f>
        <v>4180</v>
      </c>
      <c r="D29" t="s">
        <v>456</v>
      </c>
      <c r="F29" t="s">
        <v>65</v>
      </c>
      <c r="G29" t="s">
        <v>457</v>
      </c>
      <c r="H29" t="s">
        <v>458</v>
      </c>
      <c r="I29" t="s">
        <v>57</v>
      </c>
      <c r="J29" s="2" t="s">
        <v>459</v>
      </c>
      <c r="K29" t="s">
        <v>460</v>
      </c>
      <c r="L29" t="s">
        <v>60</v>
      </c>
      <c r="M29" t="s">
        <v>461</v>
      </c>
      <c r="N29" t="s">
        <v>62</v>
      </c>
      <c r="O29" t="str">
        <f>"08232"</f>
        <v>08232</v>
      </c>
      <c r="P29" t="s">
        <v>460</v>
      </c>
      <c r="S29" t="s">
        <v>461</v>
      </c>
      <c r="T29" t="s">
        <v>62</v>
      </c>
      <c r="U29" t="str">
        <f>"08232"</f>
        <v>08232</v>
      </c>
      <c r="W29" t="s">
        <v>462</v>
      </c>
      <c r="X29" t="s">
        <v>70</v>
      </c>
      <c r="Y29" t="s">
        <v>463</v>
      </c>
      <c r="Z29" t="s">
        <v>464</v>
      </c>
      <c r="AA29" t="s">
        <v>68</v>
      </c>
      <c r="AB29" t="s">
        <v>70</v>
      </c>
      <c r="AC29" t="s">
        <v>465</v>
      </c>
      <c r="AD29" t="s">
        <v>466</v>
      </c>
      <c r="AE29" t="s">
        <v>415</v>
      </c>
      <c r="AF29" t="s">
        <v>70</v>
      </c>
      <c r="AG29" t="s">
        <v>467</v>
      </c>
      <c r="AH29" t="s">
        <v>464</v>
      </c>
      <c r="AI29" t="s">
        <v>73</v>
      </c>
      <c r="AJ29" t="s">
        <v>77</v>
      </c>
      <c r="AK29" t="s">
        <v>328</v>
      </c>
      <c r="AL29" t="s">
        <v>468</v>
      </c>
      <c r="AM29" t="s">
        <v>76</v>
      </c>
      <c r="AN29" t="s">
        <v>77</v>
      </c>
      <c r="AO29" t="s">
        <v>469</v>
      </c>
      <c r="AP29" t="s">
        <v>470</v>
      </c>
      <c r="AQ29" t="s">
        <v>80</v>
      </c>
      <c r="AR29" t="s">
        <v>70</v>
      </c>
      <c r="AS29" t="s">
        <v>463</v>
      </c>
      <c r="AT29" t="s">
        <v>464</v>
      </c>
      <c r="AU29" t="s">
        <v>83</v>
      </c>
      <c r="AV29" t="s">
        <v>471</v>
      </c>
      <c r="AW29" t="str">
        <f>"3413200"</f>
        <v>3413200</v>
      </c>
    </row>
    <row r="30" spans="1:49">
      <c r="A30" t="str">
        <f t="shared" si="0"/>
        <v>01</v>
      </c>
      <c r="B30" t="s">
        <v>85</v>
      </c>
      <c r="C30" t="str">
        <f>"4240"</f>
        <v>4240</v>
      </c>
      <c r="D30" t="s">
        <v>472</v>
      </c>
      <c r="F30" t="s">
        <v>77</v>
      </c>
      <c r="G30" t="s">
        <v>212</v>
      </c>
      <c r="H30" t="s">
        <v>473</v>
      </c>
      <c r="I30" t="s">
        <v>89</v>
      </c>
      <c r="J30" s="2" t="s">
        <v>474</v>
      </c>
      <c r="K30" t="s">
        <v>475</v>
      </c>
      <c r="L30" t="s">
        <v>60</v>
      </c>
      <c r="M30" t="s">
        <v>476</v>
      </c>
      <c r="N30" t="s">
        <v>62</v>
      </c>
      <c r="O30" t="str">
        <f>"08241"</f>
        <v>08241</v>
      </c>
      <c r="P30" t="s">
        <v>475</v>
      </c>
      <c r="S30" t="s">
        <v>476</v>
      </c>
      <c r="T30" t="s">
        <v>62</v>
      </c>
      <c r="U30" t="str">
        <f>"08241"</f>
        <v>08241</v>
      </c>
      <c r="W30" t="s">
        <v>477</v>
      </c>
      <c r="X30" t="s">
        <v>77</v>
      </c>
      <c r="Y30" t="s">
        <v>478</v>
      </c>
      <c r="Z30" t="s">
        <v>479</v>
      </c>
      <c r="AA30" t="s">
        <v>68</v>
      </c>
      <c r="AB30" t="s">
        <v>77</v>
      </c>
      <c r="AC30" t="s">
        <v>138</v>
      </c>
      <c r="AD30" t="s">
        <v>480</v>
      </c>
      <c r="AE30" t="s">
        <v>181</v>
      </c>
      <c r="AF30" t="s">
        <v>54</v>
      </c>
      <c r="AG30" t="s">
        <v>481</v>
      </c>
      <c r="AH30" t="s">
        <v>248</v>
      </c>
      <c r="AI30" t="s">
        <v>73</v>
      </c>
      <c r="AJ30" t="s">
        <v>77</v>
      </c>
      <c r="AK30" t="s">
        <v>212</v>
      </c>
      <c r="AL30" t="s">
        <v>473</v>
      </c>
      <c r="AM30" t="s">
        <v>76</v>
      </c>
      <c r="AR30" t="s">
        <v>77</v>
      </c>
      <c r="AS30" t="s">
        <v>212</v>
      </c>
      <c r="AT30" t="s">
        <v>473</v>
      </c>
      <c r="AU30" t="s">
        <v>83</v>
      </c>
      <c r="AV30" t="s">
        <v>482</v>
      </c>
      <c r="AW30" t="str">
        <f>"3413380"</f>
        <v>3413380</v>
      </c>
    </row>
    <row r="31" spans="1:49">
      <c r="A31" t="str">
        <f>"80"</f>
        <v>80</v>
      </c>
      <c r="B31" t="s">
        <v>85</v>
      </c>
      <c r="C31" t="str">
        <f>"6104"</f>
        <v>6104</v>
      </c>
      <c r="D31" t="s">
        <v>483</v>
      </c>
      <c r="E31" t="str">
        <f>"995"</f>
        <v>995</v>
      </c>
      <c r="F31" t="s">
        <v>77</v>
      </c>
      <c r="G31" t="s">
        <v>484</v>
      </c>
      <c r="H31" t="s">
        <v>485</v>
      </c>
      <c r="I31" t="s">
        <v>128</v>
      </c>
      <c r="J31" s="2" t="s">
        <v>486</v>
      </c>
      <c r="K31" t="s">
        <v>487</v>
      </c>
      <c r="L31" t="s">
        <v>488</v>
      </c>
      <c r="M31" t="s">
        <v>255</v>
      </c>
      <c r="N31" t="s">
        <v>62</v>
      </c>
      <c r="O31" t="str">
        <f>"08234"</f>
        <v>08234</v>
      </c>
      <c r="P31" t="s">
        <v>487</v>
      </c>
      <c r="Q31" t="s">
        <v>489</v>
      </c>
      <c r="S31" t="s">
        <v>255</v>
      </c>
      <c r="T31" t="s">
        <v>62</v>
      </c>
      <c r="U31" t="str">
        <f>"08234"</f>
        <v>08234</v>
      </c>
      <c r="W31" t="s">
        <v>490</v>
      </c>
      <c r="X31" t="s">
        <v>65</v>
      </c>
      <c r="Y31" t="s">
        <v>212</v>
      </c>
      <c r="Z31" t="s">
        <v>491</v>
      </c>
      <c r="AA31" t="s">
        <v>112</v>
      </c>
      <c r="AB31" t="s">
        <v>65</v>
      </c>
      <c r="AC31" t="s">
        <v>492</v>
      </c>
      <c r="AD31" t="s">
        <v>493</v>
      </c>
      <c r="AE31" t="s">
        <v>181</v>
      </c>
      <c r="AF31" t="s">
        <v>77</v>
      </c>
      <c r="AG31" t="s">
        <v>484</v>
      </c>
      <c r="AH31" t="s">
        <v>485</v>
      </c>
      <c r="AI31" t="s">
        <v>73</v>
      </c>
      <c r="AJ31" t="s">
        <v>65</v>
      </c>
      <c r="AK31" t="s">
        <v>494</v>
      </c>
      <c r="AL31" t="s">
        <v>495</v>
      </c>
      <c r="AM31" t="s">
        <v>76</v>
      </c>
      <c r="AN31" t="s">
        <v>77</v>
      </c>
      <c r="AO31" t="s">
        <v>182</v>
      </c>
      <c r="AP31" t="s">
        <v>496</v>
      </c>
      <c r="AQ31" t="s">
        <v>80</v>
      </c>
      <c r="AR31" t="s">
        <v>77</v>
      </c>
      <c r="AS31" t="s">
        <v>484</v>
      </c>
      <c r="AT31" t="s">
        <v>485</v>
      </c>
      <c r="AU31" t="s">
        <v>83</v>
      </c>
      <c r="AV31" t="s">
        <v>497</v>
      </c>
    </row>
    <row r="32" spans="1:49">
      <c r="A32" t="str">
        <f>"01"</f>
        <v>01</v>
      </c>
      <c r="B32" t="s">
        <v>85</v>
      </c>
      <c r="C32" t="str">
        <f>"4800"</f>
        <v>4800</v>
      </c>
      <c r="D32" t="s">
        <v>498</v>
      </c>
      <c r="F32" t="s">
        <v>65</v>
      </c>
      <c r="G32" t="s">
        <v>116</v>
      </c>
      <c r="H32" t="s">
        <v>499</v>
      </c>
      <c r="I32" t="s">
        <v>89</v>
      </c>
      <c r="J32" s="2" t="s">
        <v>500</v>
      </c>
      <c r="K32" t="s">
        <v>501</v>
      </c>
      <c r="L32" t="s">
        <v>60</v>
      </c>
      <c r="M32" t="s">
        <v>216</v>
      </c>
      <c r="N32" t="s">
        <v>62</v>
      </c>
      <c r="O32" t="s">
        <v>502</v>
      </c>
      <c r="P32" t="s">
        <v>501</v>
      </c>
      <c r="S32" t="s">
        <v>216</v>
      </c>
      <c r="T32" t="s">
        <v>62</v>
      </c>
      <c r="U32" t="str">
        <f>"08244"</f>
        <v>08244</v>
      </c>
      <c r="V32" t="str">
        <f>"1408"</f>
        <v>1408</v>
      </c>
      <c r="W32" t="s">
        <v>503</v>
      </c>
      <c r="X32" t="s">
        <v>65</v>
      </c>
      <c r="Y32" t="s">
        <v>291</v>
      </c>
      <c r="Z32" t="s">
        <v>504</v>
      </c>
      <c r="AA32" t="s">
        <v>135</v>
      </c>
      <c r="AB32" t="s">
        <v>70</v>
      </c>
      <c r="AC32" t="s">
        <v>505</v>
      </c>
      <c r="AD32" t="s">
        <v>506</v>
      </c>
      <c r="AE32" t="s">
        <v>69</v>
      </c>
      <c r="AF32" t="s">
        <v>54</v>
      </c>
      <c r="AG32" t="s">
        <v>505</v>
      </c>
      <c r="AH32" t="s">
        <v>506</v>
      </c>
      <c r="AI32" t="s">
        <v>73</v>
      </c>
      <c r="AJ32" t="s">
        <v>65</v>
      </c>
      <c r="AK32" t="s">
        <v>116</v>
      </c>
      <c r="AL32" t="s">
        <v>507</v>
      </c>
      <c r="AM32" t="s">
        <v>76</v>
      </c>
      <c r="AN32" t="s">
        <v>77</v>
      </c>
      <c r="AO32" t="s">
        <v>273</v>
      </c>
      <c r="AP32" t="s">
        <v>508</v>
      </c>
      <c r="AQ32" t="s">
        <v>80</v>
      </c>
      <c r="AR32" t="s">
        <v>77</v>
      </c>
      <c r="AS32" t="s">
        <v>509</v>
      </c>
      <c r="AT32" t="s">
        <v>510</v>
      </c>
      <c r="AU32" t="s">
        <v>83</v>
      </c>
      <c r="AV32" t="s">
        <v>511</v>
      </c>
      <c r="AW32" t="str">
        <f>"3415030"</f>
        <v>3415030</v>
      </c>
    </row>
    <row r="33" spans="1:49">
      <c r="A33" t="str">
        <f>"01"</f>
        <v>01</v>
      </c>
      <c r="B33" t="s">
        <v>85</v>
      </c>
      <c r="C33" t="str">
        <f>"5350"</f>
        <v>5350</v>
      </c>
      <c r="D33" t="s">
        <v>512</v>
      </c>
      <c r="F33" t="s">
        <v>65</v>
      </c>
      <c r="G33" t="s">
        <v>513</v>
      </c>
      <c r="H33" t="s">
        <v>514</v>
      </c>
      <c r="I33" t="s">
        <v>89</v>
      </c>
      <c r="J33" s="2" t="s">
        <v>515</v>
      </c>
      <c r="K33" t="s">
        <v>516</v>
      </c>
      <c r="L33" t="s">
        <v>60</v>
      </c>
      <c r="M33" t="s">
        <v>517</v>
      </c>
      <c r="N33" t="s">
        <v>62</v>
      </c>
      <c r="O33" t="str">
        <f>"08406"</f>
        <v>08406</v>
      </c>
      <c r="P33" t="s">
        <v>516</v>
      </c>
      <c r="S33" t="s">
        <v>517</v>
      </c>
      <c r="T33" t="s">
        <v>62</v>
      </c>
      <c r="U33" t="str">
        <f>"08406"</f>
        <v>08406</v>
      </c>
      <c r="W33" t="s">
        <v>518</v>
      </c>
      <c r="X33" t="s">
        <v>70</v>
      </c>
      <c r="Y33" t="s">
        <v>519</v>
      </c>
      <c r="Z33" t="s">
        <v>520</v>
      </c>
      <c r="AA33" t="s">
        <v>135</v>
      </c>
      <c r="AB33" t="s">
        <v>70</v>
      </c>
      <c r="AC33" t="s">
        <v>521</v>
      </c>
      <c r="AD33" t="s">
        <v>522</v>
      </c>
      <c r="AE33" t="s">
        <v>69</v>
      </c>
      <c r="AF33" t="s">
        <v>70</v>
      </c>
      <c r="AG33" t="s">
        <v>523</v>
      </c>
      <c r="AH33" t="s">
        <v>524</v>
      </c>
      <c r="AI33" t="s">
        <v>73</v>
      </c>
      <c r="AJ33" t="s">
        <v>70</v>
      </c>
      <c r="AK33" t="s">
        <v>523</v>
      </c>
      <c r="AL33" t="s">
        <v>524</v>
      </c>
      <c r="AM33" t="s">
        <v>76</v>
      </c>
      <c r="AN33" t="s">
        <v>77</v>
      </c>
      <c r="AO33" t="s">
        <v>328</v>
      </c>
      <c r="AP33" t="s">
        <v>525</v>
      </c>
      <c r="AQ33" t="s">
        <v>80</v>
      </c>
      <c r="AR33" t="s">
        <v>65</v>
      </c>
      <c r="AS33" t="s">
        <v>513</v>
      </c>
      <c r="AT33" t="s">
        <v>514</v>
      </c>
      <c r="AU33" t="s">
        <v>83</v>
      </c>
      <c r="AV33" t="s">
        <v>526</v>
      </c>
      <c r="AW33" t="str">
        <f>"3416680"</f>
        <v>3416680</v>
      </c>
    </row>
    <row r="34" spans="1:49">
      <c r="A34" t="str">
        <f>"01"</f>
        <v>01</v>
      </c>
      <c r="B34" t="s">
        <v>85</v>
      </c>
      <c r="C34" t="str">
        <f>"5760"</f>
        <v>5760</v>
      </c>
      <c r="D34" t="s">
        <v>527</v>
      </c>
      <c r="F34" t="s">
        <v>70</v>
      </c>
      <c r="G34" t="s">
        <v>528</v>
      </c>
      <c r="H34" t="s">
        <v>529</v>
      </c>
      <c r="I34" t="s">
        <v>408</v>
      </c>
      <c r="J34" s="2" t="s">
        <v>530</v>
      </c>
      <c r="K34" t="s">
        <v>531</v>
      </c>
      <c r="L34" t="s">
        <v>60</v>
      </c>
      <c r="M34" t="s">
        <v>532</v>
      </c>
      <c r="N34" t="s">
        <v>62</v>
      </c>
      <c r="O34" t="str">
        <f>"08317"</f>
        <v>08317</v>
      </c>
      <c r="P34" t="s">
        <v>531</v>
      </c>
      <c r="S34" t="s">
        <v>532</v>
      </c>
      <c r="T34" t="s">
        <v>62</v>
      </c>
      <c r="U34" t="str">
        <f>"08317"</f>
        <v>08317</v>
      </c>
      <c r="W34" t="s">
        <v>533</v>
      </c>
      <c r="X34" t="s">
        <v>77</v>
      </c>
      <c r="Y34" t="s">
        <v>534</v>
      </c>
      <c r="Z34" t="s">
        <v>535</v>
      </c>
      <c r="AA34" t="s">
        <v>112</v>
      </c>
      <c r="AB34" t="s">
        <v>54</v>
      </c>
      <c r="AC34" t="s">
        <v>536</v>
      </c>
      <c r="AD34" t="s">
        <v>537</v>
      </c>
      <c r="AE34" t="s">
        <v>69</v>
      </c>
      <c r="AF34" t="s">
        <v>54</v>
      </c>
      <c r="AG34" t="s">
        <v>481</v>
      </c>
      <c r="AH34" t="s">
        <v>538</v>
      </c>
      <c r="AI34" t="s">
        <v>73</v>
      </c>
      <c r="AJ34" t="s">
        <v>54</v>
      </c>
      <c r="AK34" t="s">
        <v>481</v>
      </c>
      <c r="AL34" t="s">
        <v>538</v>
      </c>
      <c r="AM34" t="s">
        <v>76</v>
      </c>
      <c r="AN34" t="s">
        <v>77</v>
      </c>
      <c r="AO34" t="s">
        <v>539</v>
      </c>
      <c r="AP34" t="s">
        <v>540</v>
      </c>
      <c r="AQ34" t="s">
        <v>80</v>
      </c>
      <c r="AR34" t="s">
        <v>70</v>
      </c>
      <c r="AS34" t="s">
        <v>541</v>
      </c>
      <c r="AT34" t="s">
        <v>542</v>
      </c>
      <c r="AU34" t="s">
        <v>83</v>
      </c>
      <c r="AV34" t="s">
        <v>543</v>
      </c>
      <c r="AW34" t="str">
        <f>"3417850"</f>
        <v>3417850</v>
      </c>
    </row>
    <row r="35" spans="1:49">
      <c r="A35" t="str">
        <f>"03"</f>
        <v>03</v>
      </c>
      <c r="B35" t="s">
        <v>544</v>
      </c>
      <c r="C35" t="str">
        <f>"0040"</f>
        <v>0040</v>
      </c>
      <c r="D35" t="s">
        <v>545</v>
      </c>
      <c r="F35" t="s">
        <v>65</v>
      </c>
      <c r="G35" t="s">
        <v>120</v>
      </c>
      <c r="H35" t="s">
        <v>546</v>
      </c>
      <c r="I35" t="s">
        <v>89</v>
      </c>
      <c r="J35" s="2" t="s">
        <v>547</v>
      </c>
      <c r="K35" t="s">
        <v>548</v>
      </c>
      <c r="L35" t="s">
        <v>60</v>
      </c>
      <c r="M35" t="s">
        <v>549</v>
      </c>
      <c r="N35" t="s">
        <v>62</v>
      </c>
      <c r="O35" t="str">
        <f>"07401"</f>
        <v>07401</v>
      </c>
      <c r="P35" t="s">
        <v>548</v>
      </c>
      <c r="S35" t="s">
        <v>549</v>
      </c>
      <c r="T35" t="s">
        <v>62</v>
      </c>
      <c r="U35" t="str">
        <f>"07401"</f>
        <v>07401</v>
      </c>
      <c r="W35" t="s">
        <v>550</v>
      </c>
      <c r="X35" t="s">
        <v>70</v>
      </c>
      <c r="Y35" t="s">
        <v>536</v>
      </c>
      <c r="Z35" t="s">
        <v>551</v>
      </c>
      <c r="AA35" t="s">
        <v>135</v>
      </c>
      <c r="AB35" t="s">
        <v>54</v>
      </c>
      <c r="AC35" t="s">
        <v>155</v>
      </c>
      <c r="AD35" t="s">
        <v>552</v>
      </c>
      <c r="AE35" t="s">
        <v>181</v>
      </c>
      <c r="AF35" t="s">
        <v>54</v>
      </c>
      <c r="AG35" t="s">
        <v>155</v>
      </c>
      <c r="AH35" t="s">
        <v>552</v>
      </c>
      <c r="AI35" t="s">
        <v>73</v>
      </c>
      <c r="AJ35" t="s">
        <v>54</v>
      </c>
      <c r="AK35" t="s">
        <v>553</v>
      </c>
      <c r="AL35" t="s">
        <v>554</v>
      </c>
      <c r="AM35" t="s">
        <v>76</v>
      </c>
      <c r="AN35" t="s">
        <v>77</v>
      </c>
      <c r="AO35" t="s">
        <v>555</v>
      </c>
      <c r="AP35" t="s">
        <v>556</v>
      </c>
      <c r="AQ35" t="s">
        <v>80</v>
      </c>
      <c r="AR35" t="s">
        <v>70</v>
      </c>
      <c r="AS35" t="s">
        <v>536</v>
      </c>
      <c r="AT35" t="s">
        <v>551</v>
      </c>
      <c r="AU35" t="s">
        <v>83</v>
      </c>
      <c r="AV35" t="s">
        <v>557</v>
      </c>
      <c r="AW35" t="str">
        <f>"3400750"</f>
        <v>3400750</v>
      </c>
    </row>
    <row r="36" spans="1:49">
      <c r="A36" t="str">
        <f>"03"</f>
        <v>03</v>
      </c>
      <c r="B36" t="s">
        <v>544</v>
      </c>
      <c r="C36" t="str">
        <f>"0080"</f>
        <v>0080</v>
      </c>
      <c r="D36" t="s">
        <v>558</v>
      </c>
      <c r="F36" t="s">
        <v>70</v>
      </c>
      <c r="G36" t="s">
        <v>559</v>
      </c>
      <c r="H36" t="s">
        <v>560</v>
      </c>
      <c r="I36" t="s">
        <v>89</v>
      </c>
      <c r="J36" s="2" t="s">
        <v>561</v>
      </c>
      <c r="K36" t="s">
        <v>562</v>
      </c>
      <c r="L36" t="s">
        <v>60</v>
      </c>
      <c r="M36" t="s">
        <v>563</v>
      </c>
      <c r="N36" t="s">
        <v>62</v>
      </c>
      <c r="O36" t="s">
        <v>564</v>
      </c>
      <c r="P36" t="s">
        <v>562</v>
      </c>
      <c r="S36" t="s">
        <v>563</v>
      </c>
      <c r="T36" t="s">
        <v>62</v>
      </c>
      <c r="U36" t="str">
        <f>"07620"</f>
        <v>07620</v>
      </c>
      <c r="V36" t="str">
        <f>"1038"</f>
        <v>1038</v>
      </c>
      <c r="W36" t="s">
        <v>565</v>
      </c>
      <c r="X36" t="s">
        <v>54</v>
      </c>
      <c r="Y36" t="s">
        <v>566</v>
      </c>
      <c r="Z36" t="s">
        <v>567</v>
      </c>
      <c r="AA36" t="s">
        <v>135</v>
      </c>
      <c r="AC36" t="s">
        <v>74</v>
      </c>
      <c r="AD36" t="s">
        <v>568</v>
      </c>
      <c r="AE36" t="s">
        <v>69</v>
      </c>
      <c r="AG36" t="s">
        <v>74</v>
      </c>
      <c r="AH36" t="s">
        <v>568</v>
      </c>
      <c r="AI36" t="s">
        <v>73</v>
      </c>
      <c r="AK36" t="s">
        <v>144</v>
      </c>
      <c r="AL36" t="s">
        <v>569</v>
      </c>
      <c r="AM36" t="s">
        <v>76</v>
      </c>
      <c r="AO36" t="s">
        <v>570</v>
      </c>
      <c r="AP36" t="s">
        <v>571</v>
      </c>
      <c r="AQ36" t="s">
        <v>80</v>
      </c>
      <c r="AR36" t="s">
        <v>77</v>
      </c>
      <c r="AS36" t="s">
        <v>144</v>
      </c>
      <c r="AT36" t="s">
        <v>569</v>
      </c>
      <c r="AU36" t="s">
        <v>83</v>
      </c>
      <c r="AV36" t="s">
        <v>572</v>
      </c>
      <c r="AW36" t="str">
        <f>"3400870"</f>
        <v>3400870</v>
      </c>
    </row>
    <row r="37" spans="1:49">
      <c r="A37" t="str">
        <f>"80"</f>
        <v>80</v>
      </c>
      <c r="B37" t="s">
        <v>544</v>
      </c>
      <c r="C37" t="str">
        <f>"6013"</f>
        <v>6013</v>
      </c>
      <c r="D37" t="s">
        <v>573</v>
      </c>
      <c r="E37" t="str">
        <f>"900"</f>
        <v>900</v>
      </c>
      <c r="F37" t="s">
        <v>77</v>
      </c>
      <c r="G37" t="s">
        <v>574</v>
      </c>
      <c r="H37" t="s">
        <v>575</v>
      </c>
      <c r="I37" t="s">
        <v>128</v>
      </c>
      <c r="J37" s="2" t="s">
        <v>576</v>
      </c>
      <c r="K37" t="s">
        <v>577</v>
      </c>
      <c r="L37" t="s">
        <v>60</v>
      </c>
      <c r="M37" t="s">
        <v>578</v>
      </c>
      <c r="N37" t="s">
        <v>62</v>
      </c>
      <c r="O37" t="str">
        <f>"07026"</f>
        <v>07026</v>
      </c>
      <c r="P37" t="s">
        <v>579</v>
      </c>
      <c r="Q37" t="s">
        <v>580</v>
      </c>
      <c r="S37" t="s">
        <v>581</v>
      </c>
      <c r="T37" t="s">
        <v>62</v>
      </c>
      <c r="U37" t="str">
        <f>"07410"</f>
        <v>07410</v>
      </c>
      <c r="W37" t="s">
        <v>582</v>
      </c>
      <c r="X37" t="s">
        <v>77</v>
      </c>
      <c r="Y37" t="s">
        <v>583</v>
      </c>
      <c r="Z37" t="s">
        <v>584</v>
      </c>
      <c r="AA37" t="s">
        <v>135</v>
      </c>
      <c r="AB37" t="s">
        <v>54</v>
      </c>
      <c r="AC37" t="s">
        <v>585</v>
      </c>
      <c r="AD37" t="s">
        <v>586</v>
      </c>
      <c r="AE37" t="s">
        <v>587</v>
      </c>
      <c r="AF37" t="s">
        <v>54</v>
      </c>
      <c r="AG37" t="s">
        <v>585</v>
      </c>
      <c r="AH37" t="s">
        <v>586</v>
      </c>
      <c r="AI37" t="s">
        <v>73</v>
      </c>
      <c r="AJ37" t="s">
        <v>77</v>
      </c>
      <c r="AK37" t="s">
        <v>588</v>
      </c>
      <c r="AL37" t="s">
        <v>589</v>
      </c>
      <c r="AM37" t="s">
        <v>76</v>
      </c>
      <c r="AN37" t="s">
        <v>77</v>
      </c>
      <c r="AO37" t="s">
        <v>588</v>
      </c>
      <c r="AP37" t="s">
        <v>589</v>
      </c>
      <c r="AQ37" t="s">
        <v>80</v>
      </c>
      <c r="AR37" t="s">
        <v>77</v>
      </c>
      <c r="AS37" t="s">
        <v>590</v>
      </c>
      <c r="AT37" t="s">
        <v>213</v>
      </c>
      <c r="AU37" t="s">
        <v>83</v>
      </c>
      <c r="AV37" t="s">
        <v>591</v>
      </c>
      <c r="AW37" t="str">
        <f>"3400715"</f>
        <v>3400715</v>
      </c>
    </row>
    <row r="38" spans="1:49">
      <c r="A38" t="str">
        <f t="shared" ref="A38:A53" si="1">"03"</f>
        <v>03</v>
      </c>
      <c r="B38" t="s">
        <v>544</v>
      </c>
      <c r="C38" t="str">
        <f>"0285"</f>
        <v>0285</v>
      </c>
      <c r="D38" t="s">
        <v>592</v>
      </c>
      <c r="F38" t="s">
        <v>65</v>
      </c>
      <c r="G38" t="s">
        <v>593</v>
      </c>
      <c r="H38" t="s">
        <v>594</v>
      </c>
      <c r="I38" t="s">
        <v>89</v>
      </c>
      <c r="J38" s="2" t="s">
        <v>595</v>
      </c>
      <c r="K38" t="s">
        <v>596</v>
      </c>
      <c r="L38" t="s">
        <v>60</v>
      </c>
      <c r="M38" t="s">
        <v>597</v>
      </c>
      <c r="N38" t="s">
        <v>62</v>
      </c>
      <c r="O38" t="str">
        <f>"07652"</f>
        <v>07652</v>
      </c>
      <c r="P38" t="s">
        <v>596</v>
      </c>
      <c r="S38" t="s">
        <v>597</v>
      </c>
      <c r="T38" t="s">
        <v>62</v>
      </c>
      <c r="U38" t="str">
        <f>"07652"</f>
        <v>07652</v>
      </c>
      <c r="W38" t="s">
        <v>598</v>
      </c>
      <c r="X38" t="s">
        <v>77</v>
      </c>
      <c r="Y38" t="s">
        <v>328</v>
      </c>
      <c r="Z38" t="s">
        <v>599</v>
      </c>
      <c r="AA38" t="s">
        <v>135</v>
      </c>
      <c r="AB38" t="s">
        <v>77</v>
      </c>
      <c r="AC38" t="s">
        <v>600</v>
      </c>
      <c r="AD38" t="s">
        <v>601</v>
      </c>
      <c r="AE38" t="s">
        <v>98</v>
      </c>
      <c r="AF38" t="s">
        <v>54</v>
      </c>
      <c r="AG38" t="s">
        <v>233</v>
      </c>
      <c r="AH38" t="s">
        <v>602</v>
      </c>
      <c r="AI38" t="s">
        <v>73</v>
      </c>
      <c r="AJ38" t="s">
        <v>54</v>
      </c>
      <c r="AK38" t="s">
        <v>184</v>
      </c>
      <c r="AL38" t="s">
        <v>603</v>
      </c>
      <c r="AM38" t="s">
        <v>76</v>
      </c>
      <c r="AN38" t="s">
        <v>77</v>
      </c>
      <c r="AO38" t="s">
        <v>190</v>
      </c>
      <c r="AP38" t="s">
        <v>604</v>
      </c>
      <c r="AQ38" t="s">
        <v>80</v>
      </c>
      <c r="AR38" t="s">
        <v>54</v>
      </c>
      <c r="AS38" t="s">
        <v>233</v>
      </c>
      <c r="AT38" t="s">
        <v>602</v>
      </c>
      <c r="AU38" t="s">
        <v>83</v>
      </c>
      <c r="AV38" t="s">
        <v>605</v>
      </c>
      <c r="AW38" t="str">
        <f>"3401450"</f>
        <v>3401450</v>
      </c>
    </row>
    <row r="39" spans="1:49">
      <c r="A39" t="str">
        <f t="shared" si="1"/>
        <v>03</v>
      </c>
      <c r="B39" t="s">
        <v>544</v>
      </c>
      <c r="C39" t="str">
        <f>"0290"</f>
        <v>0290</v>
      </c>
      <c r="D39" t="s">
        <v>606</v>
      </c>
      <c r="F39" t="s">
        <v>65</v>
      </c>
      <c r="G39" t="s">
        <v>593</v>
      </c>
      <c r="H39" t="s">
        <v>594</v>
      </c>
      <c r="I39" t="s">
        <v>89</v>
      </c>
      <c r="J39" s="2" t="s">
        <v>595</v>
      </c>
      <c r="K39" t="s">
        <v>596</v>
      </c>
      <c r="L39" t="s">
        <v>60</v>
      </c>
      <c r="M39" t="s">
        <v>597</v>
      </c>
      <c r="N39" t="s">
        <v>62</v>
      </c>
      <c r="O39" t="str">
        <f>"07652"</f>
        <v>07652</v>
      </c>
      <c r="P39" t="s">
        <v>596</v>
      </c>
      <c r="S39" t="s">
        <v>597</v>
      </c>
      <c r="T39" t="s">
        <v>62</v>
      </c>
      <c r="U39" t="str">
        <f>"07652"</f>
        <v>07652</v>
      </c>
      <c r="W39" t="s">
        <v>598</v>
      </c>
      <c r="X39" t="s">
        <v>77</v>
      </c>
      <c r="Y39" t="s">
        <v>328</v>
      </c>
      <c r="Z39" t="s">
        <v>599</v>
      </c>
      <c r="AA39" t="s">
        <v>135</v>
      </c>
      <c r="AB39" t="s">
        <v>70</v>
      </c>
      <c r="AC39" t="s">
        <v>607</v>
      </c>
      <c r="AD39" t="s">
        <v>608</v>
      </c>
      <c r="AE39" t="s">
        <v>98</v>
      </c>
      <c r="AF39" t="s">
        <v>54</v>
      </c>
      <c r="AG39" t="s">
        <v>233</v>
      </c>
      <c r="AH39" t="s">
        <v>602</v>
      </c>
      <c r="AI39" t="s">
        <v>73</v>
      </c>
      <c r="AJ39" t="s">
        <v>54</v>
      </c>
      <c r="AK39" t="s">
        <v>184</v>
      </c>
      <c r="AL39" t="s">
        <v>603</v>
      </c>
      <c r="AM39" t="s">
        <v>76</v>
      </c>
      <c r="AN39" t="s">
        <v>77</v>
      </c>
      <c r="AO39" t="s">
        <v>190</v>
      </c>
      <c r="AP39" t="s">
        <v>604</v>
      </c>
      <c r="AQ39" t="s">
        <v>80</v>
      </c>
      <c r="AR39" t="s">
        <v>54</v>
      </c>
      <c r="AS39" t="s">
        <v>233</v>
      </c>
      <c r="AT39" t="s">
        <v>602</v>
      </c>
      <c r="AU39" t="s">
        <v>83</v>
      </c>
      <c r="AV39" t="s">
        <v>609</v>
      </c>
      <c r="AW39" t="str">
        <f>"3401470"</f>
        <v>3401470</v>
      </c>
    </row>
    <row r="40" spans="1:49">
      <c r="A40" t="str">
        <f t="shared" si="1"/>
        <v>03</v>
      </c>
      <c r="B40" t="s">
        <v>544</v>
      </c>
      <c r="C40" t="str">
        <f>"0300"</f>
        <v>0300</v>
      </c>
      <c r="D40" t="s">
        <v>610</v>
      </c>
      <c r="F40" t="s">
        <v>65</v>
      </c>
      <c r="G40" t="s">
        <v>287</v>
      </c>
      <c r="H40" t="s">
        <v>611</v>
      </c>
      <c r="I40" t="s">
        <v>89</v>
      </c>
      <c r="J40" s="2" t="s">
        <v>612</v>
      </c>
      <c r="K40" t="s">
        <v>613</v>
      </c>
      <c r="L40" t="s">
        <v>60</v>
      </c>
      <c r="M40" t="s">
        <v>614</v>
      </c>
      <c r="N40" t="s">
        <v>62</v>
      </c>
      <c r="O40" t="str">
        <f>"07621"</f>
        <v>07621</v>
      </c>
      <c r="P40" t="s">
        <v>613</v>
      </c>
      <c r="S40" t="s">
        <v>614</v>
      </c>
      <c r="T40" t="s">
        <v>62</v>
      </c>
      <c r="U40" t="str">
        <f>"07621"</f>
        <v>07621</v>
      </c>
      <c r="W40" t="s">
        <v>615</v>
      </c>
      <c r="X40" t="s">
        <v>65</v>
      </c>
      <c r="Y40" t="s">
        <v>287</v>
      </c>
      <c r="Z40" t="s">
        <v>611</v>
      </c>
      <c r="AA40" t="s">
        <v>616</v>
      </c>
      <c r="AB40" t="s">
        <v>65</v>
      </c>
      <c r="AC40" t="s">
        <v>617</v>
      </c>
      <c r="AD40" t="s">
        <v>618</v>
      </c>
      <c r="AE40" t="s">
        <v>69</v>
      </c>
      <c r="AF40" t="s">
        <v>70</v>
      </c>
      <c r="AG40" t="s">
        <v>619</v>
      </c>
      <c r="AH40" t="s">
        <v>620</v>
      </c>
      <c r="AI40" t="s">
        <v>73</v>
      </c>
      <c r="AJ40" t="s">
        <v>54</v>
      </c>
      <c r="AK40" t="s">
        <v>621</v>
      </c>
      <c r="AL40" t="s">
        <v>622</v>
      </c>
      <c r="AM40" t="s">
        <v>76</v>
      </c>
      <c r="AN40" t="s">
        <v>77</v>
      </c>
      <c r="AO40" t="s">
        <v>328</v>
      </c>
      <c r="AP40" t="s">
        <v>623</v>
      </c>
      <c r="AQ40" t="s">
        <v>80</v>
      </c>
      <c r="AR40" t="s">
        <v>65</v>
      </c>
      <c r="AS40" t="s">
        <v>287</v>
      </c>
      <c r="AT40" t="s">
        <v>611</v>
      </c>
      <c r="AU40" t="s">
        <v>83</v>
      </c>
      <c r="AV40" t="s">
        <v>624</v>
      </c>
      <c r="AW40" t="str">
        <f>"3401500"</f>
        <v>3401500</v>
      </c>
    </row>
    <row r="41" spans="1:49">
      <c r="A41" t="str">
        <f t="shared" si="1"/>
        <v>03</v>
      </c>
      <c r="B41" t="s">
        <v>544</v>
      </c>
      <c r="C41" t="str">
        <f>"0440"</f>
        <v>0440</v>
      </c>
      <c r="D41" t="s">
        <v>625</v>
      </c>
      <c r="F41" t="s">
        <v>77</v>
      </c>
      <c r="G41" t="s">
        <v>626</v>
      </c>
      <c r="H41" t="s">
        <v>627</v>
      </c>
      <c r="I41" t="s">
        <v>57</v>
      </c>
      <c r="J41" s="2" t="s">
        <v>628</v>
      </c>
      <c r="K41" t="s">
        <v>629</v>
      </c>
      <c r="L41" t="s">
        <v>60</v>
      </c>
      <c r="M41" t="s">
        <v>630</v>
      </c>
      <c r="N41" t="s">
        <v>62</v>
      </c>
      <c r="O41" t="str">
        <f>"07603"</f>
        <v>07603</v>
      </c>
      <c r="P41" t="s">
        <v>629</v>
      </c>
      <c r="S41" t="s">
        <v>630</v>
      </c>
      <c r="T41" t="s">
        <v>62</v>
      </c>
      <c r="U41" t="str">
        <f>"07603"</f>
        <v>07603</v>
      </c>
      <c r="W41" t="s">
        <v>631</v>
      </c>
      <c r="X41" t="s">
        <v>77</v>
      </c>
      <c r="Y41" t="s">
        <v>632</v>
      </c>
      <c r="Z41" t="s">
        <v>633</v>
      </c>
      <c r="AA41" t="s">
        <v>135</v>
      </c>
      <c r="AB41" t="s">
        <v>54</v>
      </c>
      <c r="AC41" t="s">
        <v>218</v>
      </c>
      <c r="AD41" t="s">
        <v>634</v>
      </c>
      <c r="AE41" t="s">
        <v>69</v>
      </c>
      <c r="AF41" t="s">
        <v>54</v>
      </c>
      <c r="AG41" t="s">
        <v>218</v>
      </c>
      <c r="AH41" t="s">
        <v>634</v>
      </c>
      <c r="AI41" t="s">
        <v>73</v>
      </c>
      <c r="AJ41" t="s">
        <v>77</v>
      </c>
      <c r="AK41" t="s">
        <v>626</v>
      </c>
      <c r="AL41" t="s">
        <v>627</v>
      </c>
      <c r="AM41" t="s">
        <v>76</v>
      </c>
      <c r="AN41" t="s">
        <v>77</v>
      </c>
      <c r="AO41" t="s">
        <v>373</v>
      </c>
      <c r="AP41" t="s">
        <v>635</v>
      </c>
      <c r="AQ41" t="s">
        <v>80</v>
      </c>
      <c r="AR41" t="s">
        <v>77</v>
      </c>
      <c r="AS41" t="s">
        <v>636</v>
      </c>
      <c r="AT41" t="s">
        <v>637</v>
      </c>
      <c r="AU41" t="s">
        <v>83</v>
      </c>
      <c r="AV41" t="s">
        <v>638</v>
      </c>
      <c r="AW41" t="str">
        <f>"3401920"</f>
        <v>3401920</v>
      </c>
    </row>
    <row r="42" spans="1:49">
      <c r="A42" t="str">
        <f t="shared" si="1"/>
        <v>03</v>
      </c>
      <c r="B42" t="s">
        <v>544</v>
      </c>
      <c r="C42" t="str">
        <f>"0740"</f>
        <v>0740</v>
      </c>
      <c r="D42" t="s">
        <v>639</v>
      </c>
      <c r="F42" t="s">
        <v>77</v>
      </c>
      <c r="G42" t="s">
        <v>78</v>
      </c>
      <c r="H42" t="s">
        <v>640</v>
      </c>
      <c r="I42" t="s">
        <v>89</v>
      </c>
      <c r="J42" s="2" t="s">
        <v>641</v>
      </c>
      <c r="K42" t="s">
        <v>642</v>
      </c>
      <c r="L42" t="s">
        <v>60</v>
      </c>
      <c r="M42" t="s">
        <v>643</v>
      </c>
      <c r="N42" t="s">
        <v>62</v>
      </c>
      <c r="O42" t="str">
        <f>"07072"</f>
        <v>07072</v>
      </c>
      <c r="P42" t="s">
        <v>642</v>
      </c>
      <c r="S42" t="s">
        <v>643</v>
      </c>
      <c r="T42" t="s">
        <v>62</v>
      </c>
      <c r="U42" t="str">
        <f>"07072"</f>
        <v>07072</v>
      </c>
      <c r="W42" t="s">
        <v>644</v>
      </c>
      <c r="X42" t="s">
        <v>54</v>
      </c>
      <c r="Y42" t="s">
        <v>645</v>
      </c>
      <c r="Z42" t="s">
        <v>646</v>
      </c>
      <c r="AA42" t="s">
        <v>135</v>
      </c>
      <c r="AB42" t="s">
        <v>70</v>
      </c>
      <c r="AC42" t="s">
        <v>647</v>
      </c>
      <c r="AD42" t="s">
        <v>648</v>
      </c>
      <c r="AE42" t="s">
        <v>98</v>
      </c>
      <c r="AF42" t="s">
        <v>70</v>
      </c>
      <c r="AG42" t="s">
        <v>649</v>
      </c>
      <c r="AH42" t="s">
        <v>650</v>
      </c>
      <c r="AI42" t="s">
        <v>73</v>
      </c>
      <c r="AJ42" t="s">
        <v>70</v>
      </c>
      <c r="AK42" t="s">
        <v>649</v>
      </c>
      <c r="AL42" t="s">
        <v>650</v>
      </c>
      <c r="AM42" t="s">
        <v>76</v>
      </c>
      <c r="AN42" t="s">
        <v>54</v>
      </c>
      <c r="AO42" t="s">
        <v>651</v>
      </c>
      <c r="AP42" t="s">
        <v>652</v>
      </c>
      <c r="AQ42" t="s">
        <v>80</v>
      </c>
      <c r="AR42" t="s">
        <v>70</v>
      </c>
      <c r="AS42" t="s">
        <v>653</v>
      </c>
      <c r="AT42" t="s">
        <v>654</v>
      </c>
      <c r="AU42" t="s">
        <v>83</v>
      </c>
      <c r="AV42" t="s">
        <v>655</v>
      </c>
      <c r="AW42" t="str">
        <f>"3402790"</f>
        <v>3402790</v>
      </c>
    </row>
    <row r="43" spans="1:49">
      <c r="A43" t="str">
        <f t="shared" si="1"/>
        <v>03</v>
      </c>
      <c r="B43" t="s">
        <v>544</v>
      </c>
      <c r="C43" t="str">
        <f>"0745"</f>
        <v>0745</v>
      </c>
      <c r="D43" t="s">
        <v>656</v>
      </c>
      <c r="F43" t="s">
        <v>65</v>
      </c>
      <c r="G43" t="s">
        <v>657</v>
      </c>
      <c r="H43" t="s">
        <v>658</v>
      </c>
      <c r="I43" t="s">
        <v>89</v>
      </c>
      <c r="J43" s="2" t="s">
        <v>659</v>
      </c>
      <c r="K43" t="s">
        <v>660</v>
      </c>
      <c r="L43" t="s">
        <v>60</v>
      </c>
      <c r="M43" t="s">
        <v>661</v>
      </c>
      <c r="N43" t="s">
        <v>62</v>
      </c>
      <c r="O43" t="str">
        <f>"07073"</f>
        <v>07073</v>
      </c>
      <c r="P43" t="s">
        <v>660</v>
      </c>
      <c r="S43" t="s">
        <v>661</v>
      </c>
      <c r="T43" t="s">
        <v>62</v>
      </c>
      <c r="U43" t="str">
        <f>"07073"</f>
        <v>07073</v>
      </c>
      <c r="W43" t="s">
        <v>662</v>
      </c>
      <c r="X43" t="s">
        <v>77</v>
      </c>
      <c r="Y43" t="s">
        <v>663</v>
      </c>
      <c r="Z43" t="s">
        <v>664</v>
      </c>
      <c r="AA43" t="s">
        <v>135</v>
      </c>
      <c r="AB43" t="s">
        <v>70</v>
      </c>
      <c r="AC43" t="s">
        <v>665</v>
      </c>
      <c r="AD43" t="s">
        <v>666</v>
      </c>
      <c r="AE43" t="s">
        <v>69</v>
      </c>
      <c r="AF43" t="s">
        <v>77</v>
      </c>
      <c r="AG43" t="s">
        <v>667</v>
      </c>
      <c r="AH43" t="s">
        <v>668</v>
      </c>
      <c r="AI43" t="s">
        <v>73</v>
      </c>
      <c r="AJ43" t="s">
        <v>77</v>
      </c>
      <c r="AK43" t="s">
        <v>667</v>
      </c>
      <c r="AL43" t="s">
        <v>668</v>
      </c>
      <c r="AM43" t="s">
        <v>76</v>
      </c>
      <c r="AN43" t="s">
        <v>77</v>
      </c>
      <c r="AO43" t="s">
        <v>223</v>
      </c>
      <c r="AP43" t="s">
        <v>669</v>
      </c>
      <c r="AQ43" t="s">
        <v>80</v>
      </c>
      <c r="AR43" t="s">
        <v>65</v>
      </c>
      <c r="AS43" t="s">
        <v>657</v>
      </c>
      <c r="AT43" t="s">
        <v>658</v>
      </c>
      <c r="AU43" t="s">
        <v>83</v>
      </c>
      <c r="AV43" t="s">
        <v>670</v>
      </c>
      <c r="AW43" t="str">
        <f>"3402800"</f>
        <v>3402800</v>
      </c>
    </row>
    <row r="44" spans="1:49">
      <c r="A44" t="str">
        <f t="shared" si="1"/>
        <v>03</v>
      </c>
      <c r="B44" t="s">
        <v>544</v>
      </c>
      <c r="C44" t="str">
        <f>"0890"</f>
        <v>0890</v>
      </c>
      <c r="D44" t="s">
        <v>671</v>
      </c>
      <c r="F44" t="s">
        <v>77</v>
      </c>
      <c r="G44" t="s">
        <v>120</v>
      </c>
      <c r="H44" t="s">
        <v>672</v>
      </c>
      <c r="I44" t="s">
        <v>89</v>
      </c>
      <c r="J44" s="2" t="s">
        <v>673</v>
      </c>
      <c r="K44" t="s">
        <v>674</v>
      </c>
      <c r="L44" t="s">
        <v>60</v>
      </c>
      <c r="M44" t="s">
        <v>675</v>
      </c>
      <c r="N44" t="s">
        <v>62</v>
      </c>
      <c r="O44" t="str">
        <f>"07010"</f>
        <v>07010</v>
      </c>
      <c r="P44" t="s">
        <v>674</v>
      </c>
      <c r="S44" t="s">
        <v>675</v>
      </c>
      <c r="T44" t="s">
        <v>62</v>
      </c>
      <c r="U44" t="str">
        <f>"07010"</f>
        <v>07010</v>
      </c>
      <c r="W44" t="s">
        <v>676</v>
      </c>
      <c r="X44" t="s">
        <v>77</v>
      </c>
      <c r="Y44" t="s">
        <v>677</v>
      </c>
      <c r="Z44" t="s">
        <v>678</v>
      </c>
      <c r="AA44" t="s">
        <v>135</v>
      </c>
      <c r="AB44" t="s">
        <v>54</v>
      </c>
      <c r="AC44" t="s">
        <v>523</v>
      </c>
      <c r="AD44" t="s">
        <v>679</v>
      </c>
      <c r="AE44" t="s">
        <v>98</v>
      </c>
      <c r="AF44" t="s">
        <v>54</v>
      </c>
      <c r="AG44" t="s">
        <v>680</v>
      </c>
      <c r="AH44" t="s">
        <v>681</v>
      </c>
      <c r="AI44" t="s">
        <v>73</v>
      </c>
      <c r="AJ44" t="s">
        <v>54</v>
      </c>
      <c r="AK44" t="s">
        <v>682</v>
      </c>
      <c r="AL44" t="s">
        <v>683</v>
      </c>
      <c r="AM44" t="s">
        <v>76</v>
      </c>
      <c r="AN44" t="s">
        <v>77</v>
      </c>
      <c r="AO44" t="s">
        <v>373</v>
      </c>
      <c r="AP44" t="s">
        <v>684</v>
      </c>
      <c r="AQ44" t="s">
        <v>80</v>
      </c>
      <c r="AR44" t="s">
        <v>54</v>
      </c>
      <c r="AS44" t="s">
        <v>682</v>
      </c>
      <c r="AT44" t="s">
        <v>683</v>
      </c>
      <c r="AU44" t="s">
        <v>83</v>
      </c>
      <c r="AV44" t="s">
        <v>685</v>
      </c>
      <c r="AW44" t="str">
        <f>"3403270"</f>
        <v>3403270</v>
      </c>
    </row>
    <row r="45" spans="1:49">
      <c r="A45" t="str">
        <f t="shared" si="1"/>
        <v>03</v>
      </c>
      <c r="B45" t="s">
        <v>544</v>
      </c>
      <c r="C45" t="str">
        <f>"0930"</f>
        <v>0930</v>
      </c>
      <c r="D45" t="s">
        <v>686</v>
      </c>
      <c r="F45" t="s">
        <v>77</v>
      </c>
      <c r="G45" t="s">
        <v>687</v>
      </c>
      <c r="H45" t="s">
        <v>688</v>
      </c>
      <c r="I45" t="s">
        <v>89</v>
      </c>
      <c r="J45" s="2" t="s">
        <v>689</v>
      </c>
      <c r="K45" t="s">
        <v>690</v>
      </c>
      <c r="L45" t="s">
        <v>60</v>
      </c>
      <c r="M45" t="s">
        <v>691</v>
      </c>
      <c r="N45" t="s">
        <v>62</v>
      </c>
      <c r="O45" t="s">
        <v>692</v>
      </c>
      <c r="P45" t="s">
        <v>690</v>
      </c>
      <c r="S45" t="s">
        <v>691</v>
      </c>
      <c r="T45" t="s">
        <v>62</v>
      </c>
      <c r="U45" t="str">
        <f>"07624"</f>
        <v>07624</v>
      </c>
      <c r="V45" t="str">
        <f>"2907"</f>
        <v>2907</v>
      </c>
      <c r="W45" t="s">
        <v>693</v>
      </c>
      <c r="X45" t="s">
        <v>77</v>
      </c>
      <c r="Y45" t="s">
        <v>694</v>
      </c>
      <c r="Z45" t="s">
        <v>695</v>
      </c>
      <c r="AA45" t="s">
        <v>135</v>
      </c>
      <c r="AB45" t="s">
        <v>54</v>
      </c>
      <c r="AC45" t="s">
        <v>233</v>
      </c>
      <c r="AD45" t="s">
        <v>696</v>
      </c>
      <c r="AE45" t="s">
        <v>98</v>
      </c>
      <c r="AF45" t="s">
        <v>77</v>
      </c>
      <c r="AG45" t="s">
        <v>697</v>
      </c>
      <c r="AH45" t="s">
        <v>698</v>
      </c>
      <c r="AI45" t="s">
        <v>73</v>
      </c>
      <c r="AJ45" t="s">
        <v>70</v>
      </c>
      <c r="AK45" t="s">
        <v>699</v>
      </c>
      <c r="AL45" t="s">
        <v>700</v>
      </c>
      <c r="AM45" t="s">
        <v>76</v>
      </c>
      <c r="AN45" t="s">
        <v>77</v>
      </c>
      <c r="AO45" t="s">
        <v>701</v>
      </c>
      <c r="AP45" t="s">
        <v>702</v>
      </c>
      <c r="AQ45" t="s">
        <v>80</v>
      </c>
      <c r="AR45" t="s">
        <v>65</v>
      </c>
      <c r="AS45" t="s">
        <v>204</v>
      </c>
      <c r="AT45" t="s">
        <v>703</v>
      </c>
      <c r="AU45" t="s">
        <v>83</v>
      </c>
      <c r="AV45" t="s">
        <v>704</v>
      </c>
      <c r="AW45" t="str">
        <f>"3403390"</f>
        <v>3403390</v>
      </c>
    </row>
    <row r="46" spans="1:49">
      <c r="A46" t="str">
        <f t="shared" si="1"/>
        <v>03</v>
      </c>
      <c r="B46" t="s">
        <v>544</v>
      </c>
      <c r="C46" t="str">
        <f>"0990"</f>
        <v>0990</v>
      </c>
      <c r="D46" t="s">
        <v>705</v>
      </c>
      <c r="F46" t="s">
        <v>77</v>
      </c>
      <c r="G46" t="s">
        <v>120</v>
      </c>
      <c r="H46" t="s">
        <v>706</v>
      </c>
      <c r="I46" t="s">
        <v>89</v>
      </c>
      <c r="J46" s="2" t="s">
        <v>707</v>
      </c>
      <c r="K46" t="s">
        <v>708</v>
      </c>
      <c r="L46" t="s">
        <v>60</v>
      </c>
      <c r="M46" t="s">
        <v>709</v>
      </c>
      <c r="N46" t="s">
        <v>62</v>
      </c>
      <c r="O46" t="str">
        <f>"07626"</f>
        <v>07626</v>
      </c>
      <c r="P46" t="s">
        <v>708</v>
      </c>
      <c r="S46" t="s">
        <v>709</v>
      </c>
      <c r="T46" t="s">
        <v>62</v>
      </c>
      <c r="U46" t="str">
        <f>"07626"</f>
        <v>07626</v>
      </c>
      <c r="W46" t="s">
        <v>710</v>
      </c>
      <c r="X46" t="s">
        <v>70</v>
      </c>
      <c r="Y46" t="s">
        <v>711</v>
      </c>
      <c r="Z46" t="s">
        <v>712</v>
      </c>
      <c r="AA46" t="s">
        <v>135</v>
      </c>
      <c r="AB46" t="s">
        <v>65</v>
      </c>
      <c r="AC46" t="s">
        <v>713</v>
      </c>
      <c r="AD46" t="s">
        <v>714</v>
      </c>
      <c r="AE46" t="s">
        <v>98</v>
      </c>
      <c r="AF46" t="s">
        <v>70</v>
      </c>
      <c r="AG46" t="s">
        <v>553</v>
      </c>
      <c r="AH46" t="s">
        <v>464</v>
      </c>
      <c r="AI46" t="s">
        <v>73</v>
      </c>
      <c r="AJ46" t="s">
        <v>54</v>
      </c>
      <c r="AK46" t="s">
        <v>218</v>
      </c>
      <c r="AL46" t="s">
        <v>715</v>
      </c>
      <c r="AM46" t="s">
        <v>76</v>
      </c>
      <c r="AR46" t="s">
        <v>54</v>
      </c>
      <c r="AS46" t="s">
        <v>716</v>
      </c>
      <c r="AT46" t="s">
        <v>717</v>
      </c>
      <c r="AU46" t="s">
        <v>83</v>
      </c>
      <c r="AV46" t="s">
        <v>718</v>
      </c>
      <c r="AW46" t="str">
        <f>"3403600"</f>
        <v>3403600</v>
      </c>
    </row>
    <row r="47" spans="1:49">
      <c r="A47" t="str">
        <f t="shared" si="1"/>
        <v>03</v>
      </c>
      <c r="B47" t="s">
        <v>544</v>
      </c>
      <c r="C47" t="str">
        <f>"1070"</f>
        <v>1070</v>
      </c>
      <c r="D47" t="s">
        <v>719</v>
      </c>
      <c r="F47" t="s">
        <v>77</v>
      </c>
      <c r="G47" t="s">
        <v>120</v>
      </c>
      <c r="H47" t="s">
        <v>187</v>
      </c>
      <c r="I47" t="s">
        <v>89</v>
      </c>
      <c r="J47" s="2" t="s">
        <v>720</v>
      </c>
      <c r="K47" t="s">
        <v>721</v>
      </c>
      <c r="L47" t="s">
        <v>60</v>
      </c>
      <c r="M47" t="s">
        <v>722</v>
      </c>
      <c r="N47" t="s">
        <v>62</v>
      </c>
      <c r="O47" t="str">
        <f>"07627"</f>
        <v>07627</v>
      </c>
      <c r="P47" t="s">
        <v>721</v>
      </c>
      <c r="S47" t="s">
        <v>722</v>
      </c>
      <c r="T47" t="s">
        <v>62</v>
      </c>
      <c r="U47" t="str">
        <f>"07627"</f>
        <v>07627</v>
      </c>
      <c r="W47" t="s">
        <v>723</v>
      </c>
      <c r="X47" t="s">
        <v>70</v>
      </c>
      <c r="Y47" t="s">
        <v>724</v>
      </c>
      <c r="Z47" t="s">
        <v>649</v>
      </c>
      <c r="AA47" t="s">
        <v>135</v>
      </c>
      <c r="AB47" t="s">
        <v>65</v>
      </c>
      <c r="AC47" t="s">
        <v>116</v>
      </c>
      <c r="AD47" t="s">
        <v>725</v>
      </c>
      <c r="AE47" t="s">
        <v>69</v>
      </c>
      <c r="AF47" t="s">
        <v>77</v>
      </c>
      <c r="AG47" t="s">
        <v>726</v>
      </c>
      <c r="AH47" t="s">
        <v>727</v>
      </c>
      <c r="AI47" t="s">
        <v>73</v>
      </c>
      <c r="AJ47" t="s">
        <v>54</v>
      </c>
      <c r="AK47" t="s">
        <v>728</v>
      </c>
      <c r="AL47" t="s">
        <v>729</v>
      </c>
      <c r="AM47" t="s">
        <v>76</v>
      </c>
      <c r="AN47" t="s">
        <v>70</v>
      </c>
      <c r="AO47" t="s">
        <v>730</v>
      </c>
      <c r="AP47" t="s">
        <v>731</v>
      </c>
      <c r="AQ47" t="s">
        <v>80</v>
      </c>
      <c r="AR47" t="s">
        <v>77</v>
      </c>
      <c r="AS47" t="s">
        <v>373</v>
      </c>
      <c r="AT47" t="s">
        <v>732</v>
      </c>
      <c r="AU47" t="s">
        <v>83</v>
      </c>
      <c r="AV47" t="s">
        <v>733</v>
      </c>
      <c r="AW47" t="str">
        <f>"3403810"</f>
        <v>3403810</v>
      </c>
    </row>
    <row r="48" spans="1:49">
      <c r="A48" t="str">
        <f t="shared" si="1"/>
        <v>03</v>
      </c>
      <c r="B48" t="s">
        <v>544</v>
      </c>
      <c r="C48" t="str">
        <f>"1130"</f>
        <v>1130</v>
      </c>
      <c r="D48" t="s">
        <v>734</v>
      </c>
      <c r="F48" t="s">
        <v>77</v>
      </c>
      <c r="G48" t="s">
        <v>735</v>
      </c>
      <c r="H48" t="s">
        <v>736</v>
      </c>
      <c r="I48" t="s">
        <v>89</v>
      </c>
      <c r="J48" s="2" t="s">
        <v>737</v>
      </c>
      <c r="K48" t="s">
        <v>738</v>
      </c>
      <c r="L48" t="s">
        <v>60</v>
      </c>
      <c r="M48" t="s">
        <v>739</v>
      </c>
      <c r="N48" t="s">
        <v>62</v>
      </c>
      <c r="O48" t="str">
        <f>"07628"</f>
        <v>07628</v>
      </c>
      <c r="P48" t="s">
        <v>738</v>
      </c>
      <c r="S48" t="s">
        <v>739</v>
      </c>
      <c r="T48" t="s">
        <v>62</v>
      </c>
      <c r="U48" t="str">
        <f>"07628"</f>
        <v>07628</v>
      </c>
      <c r="W48" t="s">
        <v>740</v>
      </c>
      <c r="X48" t="s">
        <v>77</v>
      </c>
      <c r="Y48" t="s">
        <v>367</v>
      </c>
      <c r="Z48" t="s">
        <v>741</v>
      </c>
      <c r="AA48" t="s">
        <v>135</v>
      </c>
      <c r="AB48" t="s">
        <v>65</v>
      </c>
      <c r="AC48" t="s">
        <v>555</v>
      </c>
      <c r="AD48" t="s">
        <v>742</v>
      </c>
      <c r="AE48" t="s">
        <v>98</v>
      </c>
      <c r="AF48" t="s">
        <v>77</v>
      </c>
      <c r="AG48" t="s">
        <v>743</v>
      </c>
      <c r="AH48" t="s">
        <v>744</v>
      </c>
      <c r="AI48" t="s">
        <v>73</v>
      </c>
      <c r="AJ48" t="s">
        <v>65</v>
      </c>
      <c r="AK48" t="s">
        <v>536</v>
      </c>
      <c r="AL48" t="s">
        <v>745</v>
      </c>
      <c r="AM48" t="s">
        <v>76</v>
      </c>
      <c r="AN48" t="s">
        <v>54</v>
      </c>
      <c r="AO48" t="s">
        <v>746</v>
      </c>
      <c r="AP48" t="s">
        <v>747</v>
      </c>
      <c r="AQ48" t="s">
        <v>80</v>
      </c>
      <c r="AR48" t="s">
        <v>77</v>
      </c>
      <c r="AS48" t="s">
        <v>182</v>
      </c>
      <c r="AT48" t="s">
        <v>748</v>
      </c>
      <c r="AU48" t="s">
        <v>83</v>
      </c>
      <c r="AV48" t="s">
        <v>749</v>
      </c>
      <c r="AW48" t="str">
        <f>"3403990"</f>
        <v>3403990</v>
      </c>
    </row>
    <row r="49" spans="1:49">
      <c r="A49" t="str">
        <f t="shared" si="1"/>
        <v>03</v>
      </c>
      <c r="B49" t="s">
        <v>544</v>
      </c>
      <c r="C49" t="str">
        <f>"1230"</f>
        <v>1230</v>
      </c>
      <c r="D49" t="s">
        <v>750</v>
      </c>
      <c r="F49" t="s">
        <v>77</v>
      </c>
      <c r="G49" t="s">
        <v>751</v>
      </c>
      <c r="H49" t="s">
        <v>752</v>
      </c>
      <c r="I49" t="s">
        <v>89</v>
      </c>
      <c r="J49" s="2" t="s">
        <v>753</v>
      </c>
      <c r="K49" t="s">
        <v>754</v>
      </c>
      <c r="L49" t="s">
        <v>60</v>
      </c>
      <c r="M49" t="s">
        <v>661</v>
      </c>
      <c r="N49" t="s">
        <v>62</v>
      </c>
      <c r="O49" t="str">
        <f>"07073"</f>
        <v>07073</v>
      </c>
      <c r="P49" t="s">
        <v>754</v>
      </c>
      <c r="S49" t="s">
        <v>661</v>
      </c>
      <c r="T49" t="s">
        <v>62</v>
      </c>
      <c r="U49" t="str">
        <f>"07073"</f>
        <v>07073</v>
      </c>
      <c r="W49" t="s">
        <v>755</v>
      </c>
      <c r="X49" t="s">
        <v>54</v>
      </c>
      <c r="Y49" t="s">
        <v>756</v>
      </c>
      <c r="Z49" t="s">
        <v>757</v>
      </c>
      <c r="AA49" t="s">
        <v>135</v>
      </c>
      <c r="AB49" t="s">
        <v>54</v>
      </c>
      <c r="AC49" t="s">
        <v>140</v>
      </c>
      <c r="AD49" t="s">
        <v>758</v>
      </c>
      <c r="AE49" t="s">
        <v>587</v>
      </c>
      <c r="AF49" t="s">
        <v>54</v>
      </c>
      <c r="AG49" t="s">
        <v>140</v>
      </c>
      <c r="AH49" t="s">
        <v>758</v>
      </c>
      <c r="AI49" t="s">
        <v>73</v>
      </c>
      <c r="AJ49" t="s">
        <v>70</v>
      </c>
      <c r="AK49" t="s">
        <v>759</v>
      </c>
      <c r="AL49" t="s">
        <v>760</v>
      </c>
      <c r="AM49" t="s">
        <v>76</v>
      </c>
      <c r="AN49" t="s">
        <v>77</v>
      </c>
      <c r="AO49" t="s">
        <v>761</v>
      </c>
      <c r="AP49" t="s">
        <v>762</v>
      </c>
      <c r="AQ49" t="s">
        <v>80</v>
      </c>
      <c r="AR49" t="s">
        <v>77</v>
      </c>
      <c r="AS49" t="s">
        <v>212</v>
      </c>
      <c r="AT49" t="s">
        <v>763</v>
      </c>
      <c r="AU49" t="s">
        <v>83</v>
      </c>
      <c r="AV49" t="s">
        <v>764</v>
      </c>
      <c r="AW49" t="str">
        <f>"3404290"</f>
        <v>3404290</v>
      </c>
    </row>
    <row r="50" spans="1:49">
      <c r="A50" t="str">
        <f t="shared" si="1"/>
        <v>03</v>
      </c>
      <c r="B50" t="s">
        <v>544</v>
      </c>
      <c r="C50" t="str">
        <f>"1270"</f>
        <v>1270</v>
      </c>
      <c r="D50" t="s">
        <v>765</v>
      </c>
      <c r="F50" t="s">
        <v>77</v>
      </c>
      <c r="G50" t="s">
        <v>663</v>
      </c>
      <c r="H50" t="s">
        <v>766</v>
      </c>
      <c r="I50" t="s">
        <v>57</v>
      </c>
      <c r="J50" s="2" t="s">
        <v>767</v>
      </c>
      <c r="K50" t="s">
        <v>768</v>
      </c>
      <c r="L50" t="s">
        <v>60</v>
      </c>
      <c r="M50" t="s">
        <v>769</v>
      </c>
      <c r="N50" t="s">
        <v>62</v>
      </c>
      <c r="O50" t="str">
        <f>"07020"</f>
        <v>07020</v>
      </c>
      <c r="P50" t="s">
        <v>768</v>
      </c>
      <c r="S50" t="s">
        <v>769</v>
      </c>
      <c r="T50" t="s">
        <v>62</v>
      </c>
      <c r="U50" t="str">
        <f>"07020"</f>
        <v>07020</v>
      </c>
      <c r="W50" t="s">
        <v>770</v>
      </c>
      <c r="X50" t="s">
        <v>54</v>
      </c>
      <c r="Y50" t="s">
        <v>771</v>
      </c>
      <c r="Z50" t="s">
        <v>772</v>
      </c>
      <c r="AA50" t="s">
        <v>773</v>
      </c>
      <c r="AB50" t="s">
        <v>77</v>
      </c>
      <c r="AC50" t="s">
        <v>358</v>
      </c>
      <c r="AD50" t="s">
        <v>774</v>
      </c>
      <c r="AE50" t="s">
        <v>433</v>
      </c>
      <c r="AF50" t="s">
        <v>77</v>
      </c>
      <c r="AG50" t="s">
        <v>775</v>
      </c>
      <c r="AH50" t="s">
        <v>776</v>
      </c>
      <c r="AI50" t="s">
        <v>73</v>
      </c>
      <c r="AJ50" t="s">
        <v>70</v>
      </c>
      <c r="AK50" t="s">
        <v>291</v>
      </c>
      <c r="AL50" t="s">
        <v>777</v>
      </c>
      <c r="AM50" t="s">
        <v>76</v>
      </c>
      <c r="AN50" t="s">
        <v>70</v>
      </c>
      <c r="AO50" t="s">
        <v>778</v>
      </c>
      <c r="AP50" t="s">
        <v>779</v>
      </c>
      <c r="AQ50" t="s">
        <v>80</v>
      </c>
      <c r="AR50" t="s">
        <v>54</v>
      </c>
      <c r="AS50" t="s">
        <v>233</v>
      </c>
      <c r="AT50" t="s">
        <v>780</v>
      </c>
      <c r="AU50" t="s">
        <v>83</v>
      </c>
      <c r="AV50" t="s">
        <v>781</v>
      </c>
      <c r="AW50" t="str">
        <f>"3404440"</f>
        <v>3404440</v>
      </c>
    </row>
    <row r="51" spans="1:49">
      <c r="A51" t="str">
        <f t="shared" si="1"/>
        <v>03</v>
      </c>
      <c r="B51" t="s">
        <v>544</v>
      </c>
      <c r="C51" t="str">
        <f>"1345"</f>
        <v>1345</v>
      </c>
      <c r="D51" t="s">
        <v>782</v>
      </c>
      <c r="F51" t="s">
        <v>77</v>
      </c>
      <c r="G51" t="s">
        <v>166</v>
      </c>
      <c r="H51" t="s">
        <v>783</v>
      </c>
      <c r="I51" t="s">
        <v>57</v>
      </c>
      <c r="J51" s="2" t="s">
        <v>784</v>
      </c>
      <c r="K51" t="s">
        <v>785</v>
      </c>
      <c r="L51" t="s">
        <v>60</v>
      </c>
      <c r="M51" t="s">
        <v>786</v>
      </c>
      <c r="N51" t="s">
        <v>62</v>
      </c>
      <c r="O51" t="str">
        <f>"07407"</f>
        <v>07407</v>
      </c>
      <c r="P51" t="s">
        <v>785</v>
      </c>
      <c r="S51" t="s">
        <v>786</v>
      </c>
      <c r="T51" t="s">
        <v>62</v>
      </c>
      <c r="U51" t="str">
        <f>"07407"</f>
        <v>07407</v>
      </c>
      <c r="W51" t="s">
        <v>787</v>
      </c>
      <c r="X51" t="s">
        <v>77</v>
      </c>
      <c r="Y51" t="s">
        <v>328</v>
      </c>
      <c r="Z51" t="s">
        <v>788</v>
      </c>
      <c r="AA51" t="s">
        <v>135</v>
      </c>
      <c r="AB51" t="s">
        <v>70</v>
      </c>
      <c r="AC51" t="s">
        <v>771</v>
      </c>
      <c r="AD51" t="s">
        <v>789</v>
      </c>
      <c r="AE51" t="s">
        <v>98</v>
      </c>
      <c r="AF51" t="s">
        <v>70</v>
      </c>
      <c r="AG51" t="s">
        <v>790</v>
      </c>
      <c r="AH51" t="s">
        <v>791</v>
      </c>
      <c r="AI51" t="s">
        <v>73</v>
      </c>
      <c r="AJ51" t="s">
        <v>77</v>
      </c>
      <c r="AK51" t="s">
        <v>792</v>
      </c>
      <c r="AL51" t="s">
        <v>793</v>
      </c>
      <c r="AM51" t="s">
        <v>76</v>
      </c>
      <c r="AN51" t="s">
        <v>77</v>
      </c>
      <c r="AO51" t="s">
        <v>794</v>
      </c>
      <c r="AP51" t="s">
        <v>795</v>
      </c>
      <c r="AQ51" t="s">
        <v>80</v>
      </c>
      <c r="AR51" t="s">
        <v>77</v>
      </c>
      <c r="AS51" t="s">
        <v>120</v>
      </c>
      <c r="AT51" t="s">
        <v>796</v>
      </c>
      <c r="AU51" t="s">
        <v>83</v>
      </c>
      <c r="AV51" t="s">
        <v>797</v>
      </c>
      <c r="AW51" t="str">
        <f>"3404660"</f>
        <v>3404660</v>
      </c>
    </row>
    <row r="52" spans="1:49">
      <c r="A52" t="str">
        <f t="shared" si="1"/>
        <v>03</v>
      </c>
      <c r="B52" t="s">
        <v>544</v>
      </c>
      <c r="C52" t="str">
        <f>"1360"</f>
        <v>1360</v>
      </c>
      <c r="D52" t="s">
        <v>798</v>
      </c>
      <c r="F52" t="s">
        <v>65</v>
      </c>
      <c r="G52" t="s">
        <v>212</v>
      </c>
      <c r="H52" t="s">
        <v>799</v>
      </c>
      <c r="I52" t="s">
        <v>89</v>
      </c>
      <c r="J52" s="2" t="s">
        <v>800</v>
      </c>
      <c r="K52" t="s">
        <v>801</v>
      </c>
      <c r="L52" t="s">
        <v>802</v>
      </c>
      <c r="M52" t="s">
        <v>803</v>
      </c>
      <c r="N52" t="s">
        <v>62</v>
      </c>
      <c r="O52" t="str">
        <f>"07630"</f>
        <v>07630</v>
      </c>
      <c r="P52" t="s">
        <v>801</v>
      </c>
      <c r="Q52" t="s">
        <v>804</v>
      </c>
      <c r="S52" t="s">
        <v>803</v>
      </c>
      <c r="T52" t="s">
        <v>62</v>
      </c>
      <c r="U52" t="str">
        <f>"07630"</f>
        <v>07630</v>
      </c>
      <c r="W52" t="s">
        <v>805</v>
      </c>
      <c r="X52" t="s">
        <v>65</v>
      </c>
      <c r="Y52" t="s">
        <v>144</v>
      </c>
      <c r="Z52" t="s">
        <v>806</v>
      </c>
      <c r="AA52" t="s">
        <v>135</v>
      </c>
      <c r="AB52" t="s">
        <v>65</v>
      </c>
      <c r="AC52" t="s">
        <v>807</v>
      </c>
      <c r="AD52" t="s">
        <v>808</v>
      </c>
      <c r="AE52" t="s">
        <v>98</v>
      </c>
      <c r="AF52" t="s">
        <v>54</v>
      </c>
      <c r="AG52" t="s">
        <v>809</v>
      </c>
      <c r="AH52" t="s">
        <v>810</v>
      </c>
      <c r="AI52" t="s">
        <v>73</v>
      </c>
      <c r="AJ52" t="s">
        <v>54</v>
      </c>
      <c r="AK52" t="s">
        <v>811</v>
      </c>
      <c r="AL52" t="s">
        <v>812</v>
      </c>
      <c r="AM52" t="s">
        <v>76</v>
      </c>
      <c r="AN52" t="s">
        <v>54</v>
      </c>
      <c r="AO52" t="s">
        <v>724</v>
      </c>
      <c r="AP52" t="s">
        <v>813</v>
      </c>
      <c r="AQ52" t="s">
        <v>80</v>
      </c>
      <c r="AR52" t="s">
        <v>77</v>
      </c>
      <c r="AS52" t="s">
        <v>212</v>
      </c>
      <c r="AT52" t="s">
        <v>814</v>
      </c>
      <c r="AU52" t="s">
        <v>83</v>
      </c>
      <c r="AV52" t="s">
        <v>815</v>
      </c>
      <c r="AW52" t="str">
        <f>"3404710"</f>
        <v>3404710</v>
      </c>
    </row>
    <row r="53" spans="1:49">
      <c r="A53" t="str">
        <f t="shared" si="1"/>
        <v>03</v>
      </c>
      <c r="B53" t="s">
        <v>544</v>
      </c>
      <c r="C53" t="str">
        <f>"1380"</f>
        <v>1380</v>
      </c>
      <c r="D53" t="s">
        <v>816</v>
      </c>
      <c r="F53" t="s">
        <v>65</v>
      </c>
      <c r="G53" t="s">
        <v>155</v>
      </c>
      <c r="H53" t="s">
        <v>817</v>
      </c>
      <c r="I53" t="s">
        <v>57</v>
      </c>
      <c r="J53" s="2" t="s">
        <v>818</v>
      </c>
      <c r="K53" t="s">
        <v>819</v>
      </c>
      <c r="L53" t="s">
        <v>60</v>
      </c>
      <c r="M53" t="s">
        <v>820</v>
      </c>
      <c r="N53" t="s">
        <v>62</v>
      </c>
      <c r="O53" t="str">
        <f>"07632"</f>
        <v>07632</v>
      </c>
      <c r="P53" t="s">
        <v>819</v>
      </c>
      <c r="S53" t="s">
        <v>820</v>
      </c>
      <c r="T53" t="s">
        <v>62</v>
      </c>
      <c r="U53" t="str">
        <f>"07632"</f>
        <v>07632</v>
      </c>
      <c r="W53" t="s">
        <v>821</v>
      </c>
      <c r="X53" t="s">
        <v>70</v>
      </c>
      <c r="Y53" t="s">
        <v>822</v>
      </c>
      <c r="Z53" t="s">
        <v>823</v>
      </c>
      <c r="AA53" t="s">
        <v>112</v>
      </c>
      <c r="AB53" t="s">
        <v>54</v>
      </c>
      <c r="AC53" t="s">
        <v>711</v>
      </c>
      <c r="AD53" t="s">
        <v>824</v>
      </c>
      <c r="AE53" t="s">
        <v>181</v>
      </c>
      <c r="AF53" t="s">
        <v>54</v>
      </c>
      <c r="AG53" t="s">
        <v>825</v>
      </c>
      <c r="AH53" t="s">
        <v>826</v>
      </c>
      <c r="AI53" t="s">
        <v>73</v>
      </c>
      <c r="AJ53" t="s">
        <v>77</v>
      </c>
      <c r="AK53" t="s">
        <v>343</v>
      </c>
      <c r="AL53" t="s">
        <v>827</v>
      </c>
      <c r="AM53" t="s">
        <v>76</v>
      </c>
      <c r="AN53" t="s">
        <v>77</v>
      </c>
      <c r="AO53" t="s">
        <v>828</v>
      </c>
      <c r="AP53" t="s">
        <v>829</v>
      </c>
      <c r="AQ53" t="s">
        <v>80</v>
      </c>
      <c r="AR53" t="s">
        <v>54</v>
      </c>
      <c r="AS53" t="s">
        <v>825</v>
      </c>
      <c r="AT53" t="s">
        <v>826</v>
      </c>
      <c r="AU53" t="s">
        <v>83</v>
      </c>
      <c r="AV53" t="s">
        <v>830</v>
      </c>
      <c r="AW53" t="str">
        <f>"3404770"</f>
        <v>3404770</v>
      </c>
    </row>
    <row r="54" spans="1:49">
      <c r="A54" t="str">
        <f>"80"</f>
        <v>80</v>
      </c>
      <c r="B54" t="s">
        <v>544</v>
      </c>
      <c r="C54" t="str">
        <f>"6430"</f>
        <v>6430</v>
      </c>
      <c r="D54" t="s">
        <v>831</v>
      </c>
      <c r="E54" t="str">
        <f>"930"</f>
        <v>930</v>
      </c>
      <c r="F54" t="s">
        <v>77</v>
      </c>
      <c r="G54" t="s">
        <v>166</v>
      </c>
      <c r="H54" t="s">
        <v>832</v>
      </c>
      <c r="I54" t="s">
        <v>128</v>
      </c>
      <c r="J54" s="2" t="s">
        <v>833</v>
      </c>
      <c r="K54" t="s">
        <v>834</v>
      </c>
      <c r="L54" t="s">
        <v>60</v>
      </c>
      <c r="M54" t="s">
        <v>835</v>
      </c>
      <c r="N54" t="s">
        <v>62</v>
      </c>
      <c r="O54" t="str">
        <f>"07631"</f>
        <v>07631</v>
      </c>
      <c r="P54" t="s">
        <v>834</v>
      </c>
      <c r="S54" t="s">
        <v>835</v>
      </c>
      <c r="T54" t="s">
        <v>62</v>
      </c>
      <c r="U54" t="str">
        <f>"07631"</f>
        <v>07631</v>
      </c>
      <c r="W54" t="s">
        <v>836</v>
      </c>
      <c r="X54" t="s">
        <v>77</v>
      </c>
      <c r="Y54" t="s">
        <v>166</v>
      </c>
      <c r="Z54" t="s">
        <v>832</v>
      </c>
      <c r="AA54" t="s">
        <v>112</v>
      </c>
      <c r="AB54" t="s">
        <v>77</v>
      </c>
      <c r="AC54" t="s">
        <v>120</v>
      </c>
      <c r="AD54" t="s">
        <v>837</v>
      </c>
      <c r="AE54" t="s">
        <v>385</v>
      </c>
      <c r="AF54" t="s">
        <v>77</v>
      </c>
      <c r="AG54" t="s">
        <v>120</v>
      </c>
      <c r="AH54" t="s">
        <v>837</v>
      </c>
      <c r="AI54" t="s">
        <v>73</v>
      </c>
      <c r="AJ54" t="s">
        <v>54</v>
      </c>
      <c r="AK54" t="s">
        <v>838</v>
      </c>
      <c r="AL54" t="s">
        <v>839</v>
      </c>
      <c r="AM54" t="s">
        <v>76</v>
      </c>
      <c r="AN54" t="s">
        <v>77</v>
      </c>
      <c r="AO54" t="s">
        <v>840</v>
      </c>
      <c r="AP54" t="s">
        <v>841</v>
      </c>
      <c r="AQ54" t="s">
        <v>80</v>
      </c>
      <c r="AR54" t="s">
        <v>77</v>
      </c>
      <c r="AS54" t="s">
        <v>166</v>
      </c>
      <c r="AT54" t="s">
        <v>832</v>
      </c>
      <c r="AU54" t="s">
        <v>83</v>
      </c>
      <c r="AV54" t="s">
        <v>842</v>
      </c>
      <c r="AW54" t="str">
        <f>"3400014"</f>
        <v>3400014</v>
      </c>
    </row>
    <row r="55" spans="1:49">
      <c r="A55" t="str">
        <f t="shared" ref="A55:A86" si="2">"03"</f>
        <v>03</v>
      </c>
      <c r="B55" t="s">
        <v>544</v>
      </c>
      <c r="C55" t="str">
        <f>"1370"</f>
        <v>1370</v>
      </c>
      <c r="D55" t="s">
        <v>843</v>
      </c>
      <c r="F55" t="s">
        <v>65</v>
      </c>
      <c r="G55" t="s">
        <v>844</v>
      </c>
      <c r="H55" t="s">
        <v>845</v>
      </c>
      <c r="I55" t="s">
        <v>57</v>
      </c>
      <c r="J55" s="2" t="s">
        <v>846</v>
      </c>
      <c r="K55" t="s">
        <v>847</v>
      </c>
      <c r="L55" t="s">
        <v>60</v>
      </c>
      <c r="M55" t="s">
        <v>835</v>
      </c>
      <c r="N55" t="s">
        <v>62</v>
      </c>
      <c r="O55" t="str">
        <f>"07631"</f>
        <v>07631</v>
      </c>
      <c r="P55" t="s">
        <v>847</v>
      </c>
      <c r="S55" t="s">
        <v>835</v>
      </c>
      <c r="T55" t="s">
        <v>62</v>
      </c>
      <c r="U55" t="str">
        <f>"07631"</f>
        <v>07631</v>
      </c>
      <c r="W55" t="s">
        <v>848</v>
      </c>
      <c r="X55" t="s">
        <v>54</v>
      </c>
      <c r="Y55" t="s">
        <v>849</v>
      </c>
      <c r="Z55" t="s">
        <v>850</v>
      </c>
      <c r="AA55" t="s">
        <v>112</v>
      </c>
      <c r="AB55" t="s">
        <v>70</v>
      </c>
      <c r="AC55" t="s">
        <v>851</v>
      </c>
      <c r="AD55" t="s">
        <v>852</v>
      </c>
      <c r="AE55" t="s">
        <v>98</v>
      </c>
      <c r="AF55" t="s">
        <v>70</v>
      </c>
      <c r="AG55" t="s">
        <v>851</v>
      </c>
      <c r="AH55" t="s">
        <v>852</v>
      </c>
      <c r="AI55" t="s">
        <v>73</v>
      </c>
      <c r="AJ55" t="s">
        <v>54</v>
      </c>
      <c r="AK55" t="s">
        <v>853</v>
      </c>
      <c r="AL55" t="s">
        <v>854</v>
      </c>
      <c r="AM55" t="s">
        <v>76</v>
      </c>
      <c r="AN55" t="s">
        <v>77</v>
      </c>
      <c r="AO55" t="s">
        <v>120</v>
      </c>
      <c r="AP55" t="s">
        <v>855</v>
      </c>
      <c r="AQ55" t="s">
        <v>80</v>
      </c>
      <c r="AR55" t="s">
        <v>77</v>
      </c>
      <c r="AS55" t="s">
        <v>856</v>
      </c>
      <c r="AT55" t="s">
        <v>857</v>
      </c>
      <c r="AU55" t="s">
        <v>83</v>
      </c>
      <c r="AV55" t="s">
        <v>858</v>
      </c>
      <c r="AW55" t="str">
        <f>"3404740"</f>
        <v>3404740</v>
      </c>
    </row>
    <row r="56" spans="1:49">
      <c r="A56" t="str">
        <f t="shared" si="2"/>
        <v>03</v>
      </c>
      <c r="B56" t="s">
        <v>544</v>
      </c>
      <c r="C56" t="str">
        <f>"1450"</f>
        <v>1450</v>
      </c>
      <c r="D56" t="s">
        <v>859</v>
      </c>
      <c r="F56" t="s">
        <v>77</v>
      </c>
      <c r="G56" t="s">
        <v>663</v>
      </c>
      <c r="H56" t="s">
        <v>860</v>
      </c>
      <c r="I56" t="s">
        <v>89</v>
      </c>
      <c r="J56" s="2" t="s">
        <v>861</v>
      </c>
      <c r="K56" t="s">
        <v>862</v>
      </c>
      <c r="L56" t="s">
        <v>60</v>
      </c>
      <c r="M56" t="s">
        <v>581</v>
      </c>
      <c r="N56" t="s">
        <v>62</v>
      </c>
      <c r="O56" t="str">
        <f>"07410"</f>
        <v>07410</v>
      </c>
      <c r="P56" t="s">
        <v>862</v>
      </c>
      <c r="S56" t="s">
        <v>581</v>
      </c>
      <c r="T56" t="s">
        <v>62</v>
      </c>
      <c r="U56" t="str">
        <f>"07410"</f>
        <v>07410</v>
      </c>
      <c r="W56" t="s">
        <v>863</v>
      </c>
      <c r="X56" t="s">
        <v>70</v>
      </c>
      <c r="Y56" t="s">
        <v>864</v>
      </c>
      <c r="Z56" t="s">
        <v>865</v>
      </c>
      <c r="AA56" t="s">
        <v>135</v>
      </c>
      <c r="AB56" t="s">
        <v>54</v>
      </c>
      <c r="AC56" t="s">
        <v>866</v>
      </c>
      <c r="AD56" t="s">
        <v>867</v>
      </c>
      <c r="AE56" t="s">
        <v>868</v>
      </c>
      <c r="AF56" t="s">
        <v>65</v>
      </c>
      <c r="AG56" t="s">
        <v>869</v>
      </c>
      <c r="AH56" t="s">
        <v>870</v>
      </c>
      <c r="AI56" t="s">
        <v>73</v>
      </c>
      <c r="AJ56" t="s">
        <v>65</v>
      </c>
      <c r="AK56" t="s">
        <v>869</v>
      </c>
      <c r="AL56" t="s">
        <v>870</v>
      </c>
      <c r="AM56" t="s">
        <v>76</v>
      </c>
      <c r="AN56" t="s">
        <v>77</v>
      </c>
      <c r="AO56" t="s">
        <v>871</v>
      </c>
      <c r="AP56" t="s">
        <v>872</v>
      </c>
      <c r="AQ56" t="s">
        <v>80</v>
      </c>
      <c r="AR56" t="s">
        <v>77</v>
      </c>
      <c r="AS56" t="s">
        <v>873</v>
      </c>
      <c r="AT56" t="s">
        <v>874</v>
      </c>
      <c r="AU56" t="s">
        <v>83</v>
      </c>
      <c r="AV56" t="s">
        <v>875</v>
      </c>
      <c r="AW56" t="str">
        <f>"3404980"</f>
        <v>3404980</v>
      </c>
    </row>
    <row r="57" spans="1:49">
      <c r="A57" t="str">
        <f t="shared" si="2"/>
        <v>03</v>
      </c>
      <c r="B57" t="s">
        <v>544</v>
      </c>
      <c r="C57" t="str">
        <f>"1470"</f>
        <v>1470</v>
      </c>
      <c r="D57" t="s">
        <v>876</v>
      </c>
      <c r="F57" t="s">
        <v>65</v>
      </c>
      <c r="G57" t="s">
        <v>190</v>
      </c>
      <c r="H57" t="s">
        <v>877</v>
      </c>
      <c r="I57" t="s">
        <v>89</v>
      </c>
      <c r="J57" s="2" t="s">
        <v>878</v>
      </c>
      <c r="K57" t="s">
        <v>879</v>
      </c>
      <c r="L57" t="s">
        <v>60</v>
      </c>
      <c r="M57" t="s">
        <v>880</v>
      </c>
      <c r="N57" t="s">
        <v>62</v>
      </c>
      <c r="O57" t="str">
        <f>"07022"</f>
        <v>07022</v>
      </c>
      <c r="P57" t="s">
        <v>879</v>
      </c>
      <c r="S57" t="s">
        <v>880</v>
      </c>
      <c r="T57" t="s">
        <v>62</v>
      </c>
      <c r="U57" t="str">
        <f>"07022"</f>
        <v>07022</v>
      </c>
      <c r="W57" t="s">
        <v>881</v>
      </c>
      <c r="X57" t="s">
        <v>77</v>
      </c>
      <c r="Y57" t="s">
        <v>328</v>
      </c>
      <c r="Z57" t="s">
        <v>882</v>
      </c>
      <c r="AA57" t="s">
        <v>68</v>
      </c>
      <c r="AB57" t="s">
        <v>54</v>
      </c>
      <c r="AC57" t="s">
        <v>883</v>
      </c>
      <c r="AD57" t="s">
        <v>884</v>
      </c>
      <c r="AE57" t="s">
        <v>69</v>
      </c>
      <c r="AF57" t="s">
        <v>70</v>
      </c>
      <c r="AG57" t="s">
        <v>885</v>
      </c>
      <c r="AH57" t="s">
        <v>886</v>
      </c>
      <c r="AI57" t="s">
        <v>73</v>
      </c>
      <c r="AJ57" t="s">
        <v>54</v>
      </c>
      <c r="AK57" t="s">
        <v>308</v>
      </c>
      <c r="AL57" t="s">
        <v>887</v>
      </c>
      <c r="AM57" t="s">
        <v>76</v>
      </c>
      <c r="AN57" t="s">
        <v>77</v>
      </c>
      <c r="AO57" t="s">
        <v>182</v>
      </c>
      <c r="AP57" t="s">
        <v>888</v>
      </c>
      <c r="AQ57" t="s">
        <v>80</v>
      </c>
      <c r="AR57" t="s">
        <v>54</v>
      </c>
      <c r="AS57" t="s">
        <v>536</v>
      </c>
      <c r="AT57" t="s">
        <v>889</v>
      </c>
      <c r="AU57" t="s">
        <v>83</v>
      </c>
      <c r="AV57" t="s">
        <v>890</v>
      </c>
      <c r="AW57" t="str">
        <f>"3405070"</f>
        <v>3405070</v>
      </c>
    </row>
    <row r="58" spans="1:49">
      <c r="A58" t="str">
        <f t="shared" si="2"/>
        <v>03</v>
      </c>
      <c r="B58" t="s">
        <v>544</v>
      </c>
      <c r="C58" t="str">
        <f>"1550"</f>
        <v>1550</v>
      </c>
      <c r="D58" t="s">
        <v>891</v>
      </c>
      <c r="F58" t="s">
        <v>77</v>
      </c>
      <c r="G58" t="s">
        <v>892</v>
      </c>
      <c r="H58" t="s">
        <v>893</v>
      </c>
      <c r="I58" t="s">
        <v>89</v>
      </c>
      <c r="J58" s="2" t="s">
        <v>894</v>
      </c>
      <c r="K58" t="s">
        <v>895</v>
      </c>
      <c r="L58" t="s">
        <v>60</v>
      </c>
      <c r="M58" t="s">
        <v>896</v>
      </c>
      <c r="N58" t="s">
        <v>62</v>
      </c>
      <c r="O58" t="str">
        <f>"07024"</f>
        <v>07024</v>
      </c>
      <c r="P58" t="s">
        <v>895</v>
      </c>
      <c r="S58" t="s">
        <v>896</v>
      </c>
      <c r="T58" t="s">
        <v>62</v>
      </c>
      <c r="U58" t="str">
        <f>"07024"</f>
        <v>07024</v>
      </c>
      <c r="W58" t="s">
        <v>897</v>
      </c>
      <c r="X58" t="s">
        <v>70</v>
      </c>
      <c r="Y58" t="s">
        <v>898</v>
      </c>
      <c r="Z58" t="s">
        <v>899</v>
      </c>
      <c r="AA58" t="s">
        <v>112</v>
      </c>
      <c r="AB58" t="s">
        <v>70</v>
      </c>
      <c r="AC58" t="s">
        <v>647</v>
      </c>
      <c r="AD58" t="s">
        <v>900</v>
      </c>
      <c r="AE58" t="s">
        <v>98</v>
      </c>
      <c r="AF58" t="s">
        <v>77</v>
      </c>
      <c r="AG58" t="s">
        <v>190</v>
      </c>
      <c r="AH58" t="s">
        <v>901</v>
      </c>
      <c r="AI58" t="s">
        <v>73</v>
      </c>
      <c r="AJ58" t="s">
        <v>54</v>
      </c>
      <c r="AK58" t="s">
        <v>71</v>
      </c>
      <c r="AL58" t="s">
        <v>902</v>
      </c>
      <c r="AM58" t="s">
        <v>76</v>
      </c>
      <c r="AR58" t="s">
        <v>77</v>
      </c>
      <c r="AS58" t="s">
        <v>892</v>
      </c>
      <c r="AT58" t="s">
        <v>893</v>
      </c>
      <c r="AU58" t="s">
        <v>83</v>
      </c>
      <c r="AV58" t="s">
        <v>903</v>
      </c>
      <c r="AW58" t="str">
        <f>"3405310"</f>
        <v>3405310</v>
      </c>
    </row>
    <row r="59" spans="1:49">
      <c r="A59" t="str">
        <f t="shared" si="2"/>
        <v>03</v>
      </c>
      <c r="B59" t="s">
        <v>544</v>
      </c>
      <c r="C59" t="str">
        <f>"1580"</f>
        <v>1580</v>
      </c>
      <c r="D59" t="s">
        <v>904</v>
      </c>
      <c r="F59" t="s">
        <v>77</v>
      </c>
      <c r="G59" t="s">
        <v>905</v>
      </c>
      <c r="H59" t="s">
        <v>906</v>
      </c>
      <c r="I59" t="s">
        <v>89</v>
      </c>
      <c r="J59" s="2" t="s">
        <v>907</v>
      </c>
      <c r="K59" t="s">
        <v>908</v>
      </c>
      <c r="L59" t="s">
        <v>60</v>
      </c>
      <c r="M59" t="s">
        <v>909</v>
      </c>
      <c r="N59" t="s">
        <v>62</v>
      </c>
      <c r="O59" t="str">
        <f>"07417"</f>
        <v>07417</v>
      </c>
      <c r="P59" t="s">
        <v>908</v>
      </c>
      <c r="S59" t="s">
        <v>909</v>
      </c>
      <c r="T59" t="s">
        <v>62</v>
      </c>
      <c r="U59" t="str">
        <f>"07417"</f>
        <v>07417</v>
      </c>
      <c r="W59" t="s">
        <v>910</v>
      </c>
      <c r="X59" t="s">
        <v>77</v>
      </c>
      <c r="Y59" t="s">
        <v>120</v>
      </c>
      <c r="Z59" t="s">
        <v>911</v>
      </c>
      <c r="AA59" t="s">
        <v>135</v>
      </c>
      <c r="AB59" t="s">
        <v>70</v>
      </c>
      <c r="AC59" t="s">
        <v>651</v>
      </c>
      <c r="AD59" t="s">
        <v>912</v>
      </c>
      <c r="AE59" t="s">
        <v>913</v>
      </c>
      <c r="AF59" t="s">
        <v>70</v>
      </c>
      <c r="AG59" t="s">
        <v>651</v>
      </c>
      <c r="AH59" t="s">
        <v>912</v>
      </c>
      <c r="AI59" t="s">
        <v>73</v>
      </c>
      <c r="AJ59" t="s">
        <v>70</v>
      </c>
      <c r="AK59" t="s">
        <v>771</v>
      </c>
      <c r="AL59" t="s">
        <v>914</v>
      </c>
      <c r="AM59" t="s">
        <v>76</v>
      </c>
      <c r="AN59" t="s">
        <v>70</v>
      </c>
      <c r="AO59" t="s">
        <v>915</v>
      </c>
      <c r="AP59" t="s">
        <v>916</v>
      </c>
      <c r="AQ59" t="s">
        <v>80</v>
      </c>
      <c r="AR59" t="s">
        <v>77</v>
      </c>
      <c r="AS59" t="s">
        <v>120</v>
      </c>
      <c r="AT59" t="s">
        <v>911</v>
      </c>
      <c r="AU59" t="s">
        <v>83</v>
      </c>
      <c r="AV59" t="s">
        <v>917</v>
      </c>
      <c r="AW59" t="str">
        <f>"3405370"</f>
        <v>3405370</v>
      </c>
    </row>
    <row r="60" spans="1:49">
      <c r="A60" t="str">
        <f t="shared" si="2"/>
        <v>03</v>
      </c>
      <c r="B60" t="s">
        <v>544</v>
      </c>
      <c r="C60" t="str">
        <f>"1700"</f>
        <v>1700</v>
      </c>
      <c r="D60" t="s">
        <v>918</v>
      </c>
      <c r="F60" t="s">
        <v>54</v>
      </c>
      <c r="G60" t="s">
        <v>919</v>
      </c>
      <c r="H60" t="s">
        <v>920</v>
      </c>
      <c r="I60" t="s">
        <v>89</v>
      </c>
      <c r="J60" s="2" t="s">
        <v>921</v>
      </c>
      <c r="K60" t="s">
        <v>922</v>
      </c>
      <c r="L60" t="s">
        <v>60</v>
      </c>
      <c r="M60" t="s">
        <v>923</v>
      </c>
      <c r="N60" t="s">
        <v>62</v>
      </c>
      <c r="O60" t="str">
        <f>"07026"</f>
        <v>07026</v>
      </c>
      <c r="P60" t="s">
        <v>922</v>
      </c>
      <c r="S60" t="s">
        <v>923</v>
      </c>
      <c r="T60" t="s">
        <v>62</v>
      </c>
      <c r="U60" t="str">
        <f>"07026"</f>
        <v>07026</v>
      </c>
      <c r="W60" t="s">
        <v>924</v>
      </c>
      <c r="X60" t="s">
        <v>65</v>
      </c>
      <c r="Y60" t="s">
        <v>751</v>
      </c>
      <c r="Z60" t="s">
        <v>925</v>
      </c>
      <c r="AA60" t="s">
        <v>135</v>
      </c>
      <c r="AB60" t="s">
        <v>54</v>
      </c>
      <c r="AC60" t="s">
        <v>926</v>
      </c>
      <c r="AD60" t="s">
        <v>927</v>
      </c>
      <c r="AE60" t="s">
        <v>415</v>
      </c>
      <c r="AF60" t="s">
        <v>70</v>
      </c>
      <c r="AG60" t="s">
        <v>928</v>
      </c>
      <c r="AH60" t="s">
        <v>929</v>
      </c>
      <c r="AI60" t="s">
        <v>73</v>
      </c>
      <c r="AJ60" t="s">
        <v>54</v>
      </c>
      <c r="AK60" t="s">
        <v>930</v>
      </c>
      <c r="AL60" t="s">
        <v>931</v>
      </c>
      <c r="AM60" t="s">
        <v>76</v>
      </c>
      <c r="AN60" t="s">
        <v>54</v>
      </c>
      <c r="AO60" t="s">
        <v>932</v>
      </c>
      <c r="AP60" t="s">
        <v>933</v>
      </c>
      <c r="AQ60" t="s">
        <v>80</v>
      </c>
      <c r="AR60" t="s">
        <v>70</v>
      </c>
      <c r="AS60" t="s">
        <v>928</v>
      </c>
      <c r="AT60" t="s">
        <v>929</v>
      </c>
      <c r="AU60" t="s">
        <v>83</v>
      </c>
      <c r="AV60" t="s">
        <v>934</v>
      </c>
      <c r="AW60" t="str">
        <f>"3405760"</f>
        <v>3405760</v>
      </c>
    </row>
    <row r="61" spans="1:49">
      <c r="A61" t="str">
        <f t="shared" si="2"/>
        <v>03</v>
      </c>
      <c r="B61" t="s">
        <v>544</v>
      </c>
      <c r="C61" t="str">
        <f>"1760"</f>
        <v>1760</v>
      </c>
      <c r="D61" t="s">
        <v>935</v>
      </c>
      <c r="F61" t="s">
        <v>65</v>
      </c>
      <c r="G61" t="s">
        <v>936</v>
      </c>
      <c r="H61" t="s">
        <v>937</v>
      </c>
      <c r="I61" t="s">
        <v>89</v>
      </c>
      <c r="J61" s="2" t="s">
        <v>938</v>
      </c>
      <c r="K61" t="s">
        <v>939</v>
      </c>
      <c r="L61" t="s">
        <v>60</v>
      </c>
      <c r="M61" t="s">
        <v>940</v>
      </c>
      <c r="N61" t="s">
        <v>62</v>
      </c>
      <c r="O61" t="str">
        <f>"07452"</f>
        <v>07452</v>
      </c>
      <c r="P61" t="s">
        <v>939</v>
      </c>
      <c r="S61" t="s">
        <v>940</v>
      </c>
      <c r="T61" t="s">
        <v>62</v>
      </c>
      <c r="U61" t="str">
        <f>"07452"</f>
        <v>07452</v>
      </c>
      <c r="W61" t="s">
        <v>941</v>
      </c>
      <c r="X61" t="s">
        <v>77</v>
      </c>
      <c r="Y61" t="s">
        <v>120</v>
      </c>
      <c r="Z61" t="s">
        <v>942</v>
      </c>
      <c r="AA61" t="s">
        <v>135</v>
      </c>
      <c r="AB61" t="s">
        <v>65</v>
      </c>
      <c r="AC61" t="s">
        <v>155</v>
      </c>
      <c r="AD61" t="s">
        <v>943</v>
      </c>
      <c r="AE61" t="s">
        <v>98</v>
      </c>
      <c r="AF61" t="s">
        <v>77</v>
      </c>
      <c r="AG61" t="s">
        <v>120</v>
      </c>
      <c r="AH61" t="s">
        <v>944</v>
      </c>
      <c r="AI61" t="s">
        <v>73</v>
      </c>
      <c r="AJ61" t="s">
        <v>70</v>
      </c>
      <c r="AK61" t="s">
        <v>116</v>
      </c>
      <c r="AL61" t="s">
        <v>945</v>
      </c>
      <c r="AM61" t="s">
        <v>76</v>
      </c>
      <c r="AN61" t="s">
        <v>77</v>
      </c>
      <c r="AO61" t="s">
        <v>223</v>
      </c>
      <c r="AP61" t="s">
        <v>946</v>
      </c>
      <c r="AQ61" t="s">
        <v>80</v>
      </c>
      <c r="AV61" t="s">
        <v>947</v>
      </c>
      <c r="AW61" t="str">
        <f>"3405970"</f>
        <v>3405970</v>
      </c>
    </row>
    <row r="62" spans="1:49">
      <c r="A62" t="str">
        <f t="shared" si="2"/>
        <v>03</v>
      </c>
      <c r="B62" t="s">
        <v>544</v>
      </c>
      <c r="C62" t="str">
        <f>"1860"</f>
        <v>1860</v>
      </c>
      <c r="D62" t="s">
        <v>948</v>
      </c>
      <c r="F62" t="s">
        <v>77</v>
      </c>
      <c r="G62" t="s">
        <v>873</v>
      </c>
      <c r="H62" t="s">
        <v>854</v>
      </c>
      <c r="I62" t="s">
        <v>89</v>
      </c>
      <c r="J62" s="2" t="s">
        <v>949</v>
      </c>
      <c r="K62" t="s">
        <v>950</v>
      </c>
      <c r="L62" t="s">
        <v>60</v>
      </c>
      <c r="M62" t="s">
        <v>951</v>
      </c>
      <c r="N62" t="s">
        <v>62</v>
      </c>
      <c r="O62" t="str">
        <f>"07601"</f>
        <v>07601</v>
      </c>
      <c r="P62" t="s">
        <v>950</v>
      </c>
      <c r="S62" t="s">
        <v>951</v>
      </c>
      <c r="T62" t="s">
        <v>62</v>
      </c>
      <c r="U62" t="str">
        <f>"07601"</f>
        <v>07601</v>
      </c>
      <c r="W62" t="s">
        <v>952</v>
      </c>
      <c r="X62" t="s">
        <v>70</v>
      </c>
      <c r="Y62" t="s">
        <v>953</v>
      </c>
      <c r="Z62" t="s">
        <v>954</v>
      </c>
      <c r="AA62" t="s">
        <v>773</v>
      </c>
      <c r="AB62" t="s">
        <v>77</v>
      </c>
      <c r="AC62" t="s">
        <v>955</v>
      </c>
      <c r="AD62" t="s">
        <v>956</v>
      </c>
      <c r="AE62" t="s">
        <v>98</v>
      </c>
      <c r="AF62" t="s">
        <v>70</v>
      </c>
      <c r="AG62" t="s">
        <v>957</v>
      </c>
      <c r="AH62" t="s">
        <v>958</v>
      </c>
      <c r="AI62" t="s">
        <v>73</v>
      </c>
      <c r="AJ62" t="s">
        <v>65</v>
      </c>
      <c r="AK62" t="s">
        <v>71</v>
      </c>
      <c r="AL62" t="s">
        <v>959</v>
      </c>
      <c r="AM62" t="s">
        <v>76</v>
      </c>
      <c r="AN62" t="s">
        <v>77</v>
      </c>
      <c r="AO62" t="s">
        <v>960</v>
      </c>
      <c r="AP62" t="s">
        <v>961</v>
      </c>
      <c r="AQ62" t="s">
        <v>80</v>
      </c>
      <c r="AR62" t="s">
        <v>70</v>
      </c>
      <c r="AS62" t="s">
        <v>233</v>
      </c>
      <c r="AT62" t="s">
        <v>962</v>
      </c>
      <c r="AU62" t="s">
        <v>83</v>
      </c>
      <c r="AV62" t="s">
        <v>963</v>
      </c>
      <c r="AW62" t="str">
        <f>"3406270"</f>
        <v>3406270</v>
      </c>
    </row>
    <row r="63" spans="1:49">
      <c r="A63" t="str">
        <f t="shared" si="2"/>
        <v>03</v>
      </c>
      <c r="B63" t="s">
        <v>544</v>
      </c>
      <c r="C63" t="str">
        <f>"2050"</f>
        <v>2050</v>
      </c>
      <c r="D63" t="s">
        <v>964</v>
      </c>
      <c r="F63" t="s">
        <v>65</v>
      </c>
      <c r="G63" t="s">
        <v>965</v>
      </c>
      <c r="H63" t="s">
        <v>966</v>
      </c>
      <c r="I63" t="s">
        <v>89</v>
      </c>
      <c r="J63" s="2" t="s">
        <v>967</v>
      </c>
      <c r="K63" t="s">
        <v>968</v>
      </c>
      <c r="L63" t="s">
        <v>60</v>
      </c>
      <c r="M63" t="s">
        <v>969</v>
      </c>
      <c r="N63" t="s">
        <v>62</v>
      </c>
      <c r="O63" t="str">
        <f>"07640"</f>
        <v>07640</v>
      </c>
      <c r="P63" t="s">
        <v>968</v>
      </c>
      <c r="S63" t="s">
        <v>969</v>
      </c>
      <c r="T63" t="s">
        <v>62</v>
      </c>
      <c r="U63" t="str">
        <f>"07640"</f>
        <v>07640</v>
      </c>
      <c r="W63" t="s">
        <v>970</v>
      </c>
      <c r="X63" t="s">
        <v>77</v>
      </c>
      <c r="Y63" t="s">
        <v>971</v>
      </c>
      <c r="Z63" t="s">
        <v>972</v>
      </c>
      <c r="AA63" t="s">
        <v>68</v>
      </c>
      <c r="AB63" t="s">
        <v>65</v>
      </c>
      <c r="AC63" t="s">
        <v>534</v>
      </c>
      <c r="AD63" t="s">
        <v>973</v>
      </c>
      <c r="AE63" t="s">
        <v>181</v>
      </c>
      <c r="AF63" t="s">
        <v>77</v>
      </c>
      <c r="AG63" t="s">
        <v>974</v>
      </c>
      <c r="AH63" t="s">
        <v>975</v>
      </c>
      <c r="AI63" t="s">
        <v>73</v>
      </c>
      <c r="AJ63" t="s">
        <v>77</v>
      </c>
      <c r="AK63" t="s">
        <v>974</v>
      </c>
      <c r="AL63" t="s">
        <v>975</v>
      </c>
      <c r="AM63" t="s">
        <v>76</v>
      </c>
      <c r="AN63" t="s">
        <v>77</v>
      </c>
      <c r="AO63" t="s">
        <v>976</v>
      </c>
      <c r="AP63" t="s">
        <v>714</v>
      </c>
      <c r="AQ63" t="s">
        <v>80</v>
      </c>
      <c r="AR63" t="s">
        <v>77</v>
      </c>
      <c r="AS63" t="s">
        <v>974</v>
      </c>
      <c r="AT63" t="s">
        <v>975</v>
      </c>
      <c r="AU63" t="s">
        <v>83</v>
      </c>
      <c r="AV63" t="s">
        <v>977</v>
      </c>
      <c r="AW63" t="str">
        <f>"3406840"</f>
        <v>3406840</v>
      </c>
    </row>
    <row r="64" spans="1:49">
      <c r="A64" t="str">
        <f t="shared" si="2"/>
        <v>03</v>
      </c>
      <c r="B64" t="s">
        <v>544</v>
      </c>
      <c r="C64" t="str">
        <f>"2080"</f>
        <v>2080</v>
      </c>
      <c r="D64" t="s">
        <v>978</v>
      </c>
      <c r="F64" t="s">
        <v>65</v>
      </c>
      <c r="G64" t="s">
        <v>281</v>
      </c>
      <c r="H64" t="s">
        <v>979</v>
      </c>
      <c r="I64" t="s">
        <v>89</v>
      </c>
      <c r="J64" s="2" t="s">
        <v>980</v>
      </c>
      <c r="K64" t="s">
        <v>981</v>
      </c>
      <c r="L64" t="s">
        <v>60</v>
      </c>
      <c r="M64" t="s">
        <v>982</v>
      </c>
      <c r="N64" t="s">
        <v>62</v>
      </c>
      <c r="O64" t="str">
        <f>"07604"</f>
        <v>07604</v>
      </c>
      <c r="P64" t="s">
        <v>981</v>
      </c>
      <c r="S64" t="s">
        <v>982</v>
      </c>
      <c r="T64" t="s">
        <v>62</v>
      </c>
      <c r="U64" t="str">
        <f>"07604"</f>
        <v>07604</v>
      </c>
      <c r="W64" t="s">
        <v>983</v>
      </c>
      <c r="X64" t="s">
        <v>54</v>
      </c>
      <c r="Y64" t="s">
        <v>984</v>
      </c>
      <c r="Z64" t="s">
        <v>985</v>
      </c>
      <c r="AA64" t="s">
        <v>135</v>
      </c>
      <c r="AB64" t="s">
        <v>54</v>
      </c>
      <c r="AC64" t="s">
        <v>986</v>
      </c>
      <c r="AD64" t="s">
        <v>987</v>
      </c>
      <c r="AE64" t="s">
        <v>98</v>
      </c>
      <c r="AF64" t="s">
        <v>54</v>
      </c>
      <c r="AG64" t="s">
        <v>986</v>
      </c>
      <c r="AH64" t="s">
        <v>987</v>
      </c>
      <c r="AI64" t="s">
        <v>73</v>
      </c>
      <c r="AJ64" t="s">
        <v>77</v>
      </c>
      <c r="AK64" t="s">
        <v>988</v>
      </c>
      <c r="AL64" t="s">
        <v>989</v>
      </c>
      <c r="AM64" t="s">
        <v>76</v>
      </c>
      <c r="AN64" t="s">
        <v>77</v>
      </c>
      <c r="AO64" t="s">
        <v>319</v>
      </c>
      <c r="AP64" t="s">
        <v>990</v>
      </c>
      <c r="AQ64" t="s">
        <v>80</v>
      </c>
      <c r="AR64" t="s">
        <v>77</v>
      </c>
      <c r="AS64" t="s">
        <v>373</v>
      </c>
      <c r="AT64" t="s">
        <v>991</v>
      </c>
      <c r="AU64" t="s">
        <v>83</v>
      </c>
      <c r="AV64" t="s">
        <v>992</v>
      </c>
      <c r="AW64" t="str">
        <f>"3406930"</f>
        <v>3406930</v>
      </c>
    </row>
    <row r="65" spans="1:49">
      <c r="A65" t="str">
        <f t="shared" si="2"/>
        <v>03</v>
      </c>
      <c r="B65" t="s">
        <v>544</v>
      </c>
      <c r="C65" t="str">
        <f>"2090"</f>
        <v>2090</v>
      </c>
      <c r="D65" t="s">
        <v>993</v>
      </c>
      <c r="F65" t="s">
        <v>65</v>
      </c>
      <c r="G65" t="s">
        <v>994</v>
      </c>
      <c r="H65" t="s">
        <v>995</v>
      </c>
      <c r="I65" t="s">
        <v>89</v>
      </c>
      <c r="J65" s="2" t="s">
        <v>996</v>
      </c>
      <c r="K65" t="s">
        <v>997</v>
      </c>
      <c r="L65" t="s">
        <v>60</v>
      </c>
      <c r="M65" t="s">
        <v>998</v>
      </c>
      <c r="N65" t="s">
        <v>62</v>
      </c>
      <c r="O65" t="str">
        <f>"07641"</f>
        <v>07641</v>
      </c>
      <c r="P65" t="s">
        <v>997</v>
      </c>
      <c r="S65" t="s">
        <v>998</v>
      </c>
      <c r="T65" t="s">
        <v>62</v>
      </c>
      <c r="U65" t="str">
        <f>"07641"</f>
        <v>07641</v>
      </c>
      <c r="W65" t="s">
        <v>999</v>
      </c>
      <c r="X65" t="s">
        <v>77</v>
      </c>
      <c r="Y65" t="s">
        <v>555</v>
      </c>
      <c r="Z65" t="s">
        <v>1000</v>
      </c>
      <c r="AA65" t="s">
        <v>68</v>
      </c>
      <c r="AB65" t="s">
        <v>54</v>
      </c>
      <c r="AC65" t="s">
        <v>155</v>
      </c>
      <c r="AD65" t="s">
        <v>1001</v>
      </c>
      <c r="AE65" t="s">
        <v>69</v>
      </c>
      <c r="AF65" t="s">
        <v>54</v>
      </c>
      <c r="AG65" t="s">
        <v>155</v>
      </c>
      <c r="AH65" t="s">
        <v>1001</v>
      </c>
      <c r="AI65" t="s">
        <v>73</v>
      </c>
      <c r="AJ65" t="s">
        <v>54</v>
      </c>
      <c r="AK65" t="s">
        <v>155</v>
      </c>
      <c r="AL65" t="s">
        <v>1001</v>
      </c>
      <c r="AM65" t="s">
        <v>76</v>
      </c>
      <c r="AN65" t="s">
        <v>77</v>
      </c>
      <c r="AO65" t="s">
        <v>555</v>
      </c>
      <c r="AP65" t="s">
        <v>1000</v>
      </c>
      <c r="AQ65" t="s">
        <v>80</v>
      </c>
      <c r="AR65" t="s">
        <v>77</v>
      </c>
      <c r="AS65" t="s">
        <v>555</v>
      </c>
      <c r="AT65" t="s">
        <v>1000</v>
      </c>
      <c r="AU65" t="s">
        <v>83</v>
      </c>
      <c r="AV65" t="s">
        <v>1002</v>
      </c>
      <c r="AW65" t="str">
        <f>"3406960"</f>
        <v>3406960</v>
      </c>
    </row>
    <row r="66" spans="1:49">
      <c r="A66" t="str">
        <f t="shared" si="2"/>
        <v>03</v>
      </c>
      <c r="B66" t="s">
        <v>544</v>
      </c>
      <c r="C66" t="str">
        <f>"2180"</f>
        <v>2180</v>
      </c>
      <c r="D66" t="s">
        <v>1003</v>
      </c>
      <c r="F66" t="s">
        <v>77</v>
      </c>
      <c r="G66" t="s">
        <v>873</v>
      </c>
      <c r="H66" t="s">
        <v>1004</v>
      </c>
      <c r="I66" t="s">
        <v>89</v>
      </c>
      <c r="J66" s="2" t="s">
        <v>1005</v>
      </c>
      <c r="K66" t="s">
        <v>1006</v>
      </c>
      <c r="L66" t="s">
        <v>60</v>
      </c>
      <c r="M66" t="s">
        <v>1007</v>
      </c>
      <c r="N66" t="s">
        <v>62</v>
      </c>
      <c r="O66" t="str">
        <f>"07642"</f>
        <v>07642</v>
      </c>
      <c r="P66" t="s">
        <v>1006</v>
      </c>
      <c r="S66" t="s">
        <v>1007</v>
      </c>
      <c r="T66" t="s">
        <v>62</v>
      </c>
      <c r="U66" t="str">
        <f>"07642"</f>
        <v>07642</v>
      </c>
      <c r="W66" t="s">
        <v>1008</v>
      </c>
      <c r="X66" t="s">
        <v>77</v>
      </c>
      <c r="Y66" t="s">
        <v>1009</v>
      </c>
      <c r="Z66" t="s">
        <v>1010</v>
      </c>
      <c r="AA66" t="s">
        <v>135</v>
      </c>
      <c r="AB66" t="s">
        <v>54</v>
      </c>
      <c r="AC66" t="s">
        <v>505</v>
      </c>
      <c r="AD66" t="s">
        <v>1011</v>
      </c>
      <c r="AE66" t="s">
        <v>913</v>
      </c>
      <c r="AF66" t="s">
        <v>54</v>
      </c>
      <c r="AG66" t="s">
        <v>505</v>
      </c>
      <c r="AH66" t="s">
        <v>1011</v>
      </c>
      <c r="AI66" t="s">
        <v>73</v>
      </c>
      <c r="AJ66" t="s">
        <v>77</v>
      </c>
      <c r="AK66" t="s">
        <v>1012</v>
      </c>
      <c r="AL66" t="s">
        <v>1013</v>
      </c>
      <c r="AM66" t="s">
        <v>76</v>
      </c>
      <c r="AN66" t="s">
        <v>77</v>
      </c>
      <c r="AO66" t="s">
        <v>120</v>
      </c>
      <c r="AP66" t="s">
        <v>1014</v>
      </c>
      <c r="AQ66" t="s">
        <v>80</v>
      </c>
      <c r="AR66" t="s">
        <v>77</v>
      </c>
      <c r="AS66" t="s">
        <v>873</v>
      </c>
      <c r="AT66" t="s">
        <v>1004</v>
      </c>
      <c r="AU66" t="s">
        <v>83</v>
      </c>
      <c r="AV66" t="s">
        <v>1015</v>
      </c>
      <c r="AW66" t="str">
        <f>"3407260"</f>
        <v>3407260</v>
      </c>
    </row>
    <row r="67" spans="1:49">
      <c r="A67" t="str">
        <f t="shared" si="2"/>
        <v>03</v>
      </c>
      <c r="B67" t="s">
        <v>544</v>
      </c>
      <c r="C67" t="str">
        <f>"2200"</f>
        <v>2200</v>
      </c>
      <c r="D67" t="s">
        <v>1016</v>
      </c>
      <c r="F67" t="s">
        <v>65</v>
      </c>
      <c r="G67" t="s">
        <v>1017</v>
      </c>
      <c r="H67" t="s">
        <v>1018</v>
      </c>
      <c r="I67" t="s">
        <v>57</v>
      </c>
      <c r="J67" s="2" t="s">
        <v>1019</v>
      </c>
      <c r="K67" t="s">
        <v>1020</v>
      </c>
      <c r="L67" t="s">
        <v>60</v>
      </c>
      <c r="M67" t="s">
        <v>1021</v>
      </c>
      <c r="N67" t="s">
        <v>62</v>
      </c>
      <c r="O67" t="str">
        <f>"07423"</f>
        <v>07423</v>
      </c>
      <c r="P67" t="s">
        <v>1020</v>
      </c>
      <c r="S67" t="s">
        <v>1021</v>
      </c>
      <c r="T67" t="s">
        <v>62</v>
      </c>
      <c r="U67" t="str">
        <f>"07423"</f>
        <v>07423</v>
      </c>
      <c r="W67" t="s">
        <v>1022</v>
      </c>
      <c r="X67" t="s">
        <v>77</v>
      </c>
      <c r="Y67" t="s">
        <v>404</v>
      </c>
      <c r="Z67" t="s">
        <v>1023</v>
      </c>
      <c r="AA67" t="s">
        <v>135</v>
      </c>
      <c r="AB67" t="s">
        <v>77</v>
      </c>
      <c r="AC67" t="s">
        <v>87</v>
      </c>
      <c r="AD67" t="s">
        <v>1024</v>
      </c>
      <c r="AE67" t="s">
        <v>913</v>
      </c>
      <c r="AF67" t="s">
        <v>54</v>
      </c>
      <c r="AG67" t="s">
        <v>1025</v>
      </c>
      <c r="AH67" t="s">
        <v>1026</v>
      </c>
      <c r="AI67" t="s">
        <v>73</v>
      </c>
      <c r="AJ67" t="s">
        <v>54</v>
      </c>
      <c r="AK67" t="s">
        <v>1025</v>
      </c>
      <c r="AL67" t="s">
        <v>1026</v>
      </c>
      <c r="AM67" t="s">
        <v>76</v>
      </c>
      <c r="AN67" t="s">
        <v>77</v>
      </c>
      <c r="AO67" t="s">
        <v>190</v>
      </c>
      <c r="AP67" t="s">
        <v>1027</v>
      </c>
      <c r="AQ67" t="s">
        <v>80</v>
      </c>
      <c r="AR67" t="s">
        <v>65</v>
      </c>
      <c r="AS67" t="s">
        <v>1017</v>
      </c>
      <c r="AT67" t="s">
        <v>1018</v>
      </c>
      <c r="AU67" t="s">
        <v>83</v>
      </c>
      <c r="AV67" t="s">
        <v>1028</v>
      </c>
      <c r="AW67" t="str">
        <f>"3407320"</f>
        <v>3407320</v>
      </c>
    </row>
    <row r="68" spans="1:49">
      <c r="A68" t="str">
        <f t="shared" si="2"/>
        <v>03</v>
      </c>
      <c r="B68" t="s">
        <v>544</v>
      </c>
      <c r="C68" t="str">
        <f>"2620"</f>
        <v>2620</v>
      </c>
      <c r="D68" t="s">
        <v>1029</v>
      </c>
      <c r="F68" t="s">
        <v>65</v>
      </c>
      <c r="G68" t="s">
        <v>1030</v>
      </c>
      <c r="H68" t="s">
        <v>1031</v>
      </c>
      <c r="I68" t="s">
        <v>89</v>
      </c>
      <c r="J68" s="2" t="s">
        <v>1032</v>
      </c>
      <c r="K68" t="s">
        <v>1033</v>
      </c>
      <c r="L68" t="s">
        <v>60</v>
      </c>
      <c r="M68" t="s">
        <v>1034</v>
      </c>
      <c r="N68" t="s">
        <v>62</v>
      </c>
      <c r="O68" t="str">
        <f>"07605"</f>
        <v>07605</v>
      </c>
      <c r="P68" t="s">
        <v>1035</v>
      </c>
      <c r="S68" t="s">
        <v>1034</v>
      </c>
      <c r="T68" t="s">
        <v>62</v>
      </c>
      <c r="U68" t="str">
        <f>"07605"</f>
        <v>07605</v>
      </c>
      <c r="W68" t="s">
        <v>1036</v>
      </c>
      <c r="X68" t="s">
        <v>77</v>
      </c>
      <c r="Y68" t="s">
        <v>1037</v>
      </c>
      <c r="Z68" t="s">
        <v>1038</v>
      </c>
      <c r="AA68" t="s">
        <v>68</v>
      </c>
      <c r="AB68" t="s">
        <v>77</v>
      </c>
      <c r="AC68" t="s">
        <v>166</v>
      </c>
      <c r="AD68" t="s">
        <v>1039</v>
      </c>
      <c r="AE68" t="s">
        <v>98</v>
      </c>
      <c r="AF68" t="s">
        <v>77</v>
      </c>
      <c r="AG68" t="s">
        <v>166</v>
      </c>
      <c r="AH68" t="s">
        <v>1039</v>
      </c>
      <c r="AI68" t="s">
        <v>73</v>
      </c>
      <c r="AJ68" t="s">
        <v>70</v>
      </c>
      <c r="AK68" t="s">
        <v>237</v>
      </c>
      <c r="AL68" t="s">
        <v>1040</v>
      </c>
      <c r="AM68" t="s">
        <v>76</v>
      </c>
      <c r="AN68" t="s">
        <v>77</v>
      </c>
      <c r="AO68" t="s">
        <v>1041</v>
      </c>
      <c r="AP68" t="s">
        <v>1042</v>
      </c>
      <c r="AQ68" t="s">
        <v>80</v>
      </c>
      <c r="AR68" t="s">
        <v>77</v>
      </c>
      <c r="AS68" t="s">
        <v>1043</v>
      </c>
      <c r="AT68" t="s">
        <v>1044</v>
      </c>
      <c r="AU68" t="s">
        <v>83</v>
      </c>
      <c r="AV68" t="s">
        <v>1045</v>
      </c>
      <c r="AW68" t="str">
        <f>"3408520"</f>
        <v>3408520</v>
      </c>
    </row>
    <row r="69" spans="1:49">
      <c r="A69" t="str">
        <f t="shared" si="2"/>
        <v>03</v>
      </c>
      <c r="B69" t="s">
        <v>544</v>
      </c>
      <c r="C69" t="str">
        <f>"2710"</f>
        <v>2710</v>
      </c>
      <c r="D69" t="s">
        <v>1046</v>
      </c>
      <c r="F69" t="s">
        <v>77</v>
      </c>
      <c r="G69" t="s">
        <v>373</v>
      </c>
      <c r="H69" t="s">
        <v>1047</v>
      </c>
      <c r="I69" t="s">
        <v>89</v>
      </c>
      <c r="J69" s="2" t="s">
        <v>1048</v>
      </c>
      <c r="K69" t="s">
        <v>1049</v>
      </c>
      <c r="L69" t="s">
        <v>60</v>
      </c>
      <c r="M69" t="s">
        <v>1050</v>
      </c>
      <c r="N69" t="s">
        <v>62</v>
      </c>
      <c r="O69" t="str">
        <f>"07643"</f>
        <v>07643</v>
      </c>
      <c r="P69" t="s">
        <v>1051</v>
      </c>
      <c r="S69" t="s">
        <v>1050</v>
      </c>
      <c r="T69" t="s">
        <v>62</v>
      </c>
      <c r="U69" t="str">
        <f>"07643"</f>
        <v>07643</v>
      </c>
      <c r="W69" t="s">
        <v>1052</v>
      </c>
      <c r="X69" t="s">
        <v>70</v>
      </c>
      <c r="Y69" t="s">
        <v>94</v>
      </c>
      <c r="Z69" t="s">
        <v>1053</v>
      </c>
      <c r="AA69" t="s">
        <v>112</v>
      </c>
      <c r="AB69" t="s">
        <v>77</v>
      </c>
      <c r="AC69" t="s">
        <v>281</v>
      </c>
      <c r="AD69" t="s">
        <v>766</v>
      </c>
      <c r="AE69" t="s">
        <v>587</v>
      </c>
      <c r="AF69" t="s">
        <v>70</v>
      </c>
      <c r="AG69" t="s">
        <v>928</v>
      </c>
      <c r="AH69" t="s">
        <v>1054</v>
      </c>
      <c r="AI69" t="s">
        <v>73</v>
      </c>
      <c r="AJ69" t="s">
        <v>70</v>
      </c>
      <c r="AK69" t="s">
        <v>1055</v>
      </c>
      <c r="AL69" t="s">
        <v>1056</v>
      </c>
      <c r="AM69" t="s">
        <v>76</v>
      </c>
      <c r="AN69" t="s">
        <v>77</v>
      </c>
      <c r="AO69" t="s">
        <v>404</v>
      </c>
      <c r="AP69" t="s">
        <v>1057</v>
      </c>
      <c r="AQ69" t="s">
        <v>80</v>
      </c>
      <c r="AR69" t="s">
        <v>77</v>
      </c>
      <c r="AS69" t="s">
        <v>873</v>
      </c>
      <c r="AT69" t="s">
        <v>1058</v>
      </c>
      <c r="AU69" t="s">
        <v>83</v>
      </c>
      <c r="AV69" t="s">
        <v>1059</v>
      </c>
      <c r="AW69" t="str">
        <f>"3408760"</f>
        <v>3408760</v>
      </c>
    </row>
    <row r="70" spans="1:49">
      <c r="A70" t="str">
        <f t="shared" si="2"/>
        <v>03</v>
      </c>
      <c r="B70" t="s">
        <v>544</v>
      </c>
      <c r="C70" t="str">
        <f>"2740"</f>
        <v>2740</v>
      </c>
      <c r="D70" t="s">
        <v>1060</v>
      </c>
      <c r="F70" t="s">
        <v>65</v>
      </c>
      <c r="G70" t="s">
        <v>1061</v>
      </c>
      <c r="H70" t="s">
        <v>1062</v>
      </c>
      <c r="I70" t="s">
        <v>89</v>
      </c>
      <c r="J70" s="2" t="s">
        <v>1063</v>
      </c>
      <c r="K70" t="s">
        <v>1064</v>
      </c>
      <c r="L70" t="s">
        <v>60</v>
      </c>
      <c r="M70" t="s">
        <v>1065</v>
      </c>
      <c r="N70" t="s">
        <v>62</v>
      </c>
      <c r="O70" t="str">
        <f>"07644"</f>
        <v>07644</v>
      </c>
      <c r="P70" t="s">
        <v>1064</v>
      </c>
      <c r="S70" t="s">
        <v>1065</v>
      </c>
      <c r="T70" t="s">
        <v>62</v>
      </c>
      <c r="U70" t="str">
        <f>"07644"</f>
        <v>07644</v>
      </c>
      <c r="W70" t="s">
        <v>1066</v>
      </c>
      <c r="X70" t="s">
        <v>77</v>
      </c>
      <c r="Y70" t="s">
        <v>1067</v>
      </c>
      <c r="Z70" t="s">
        <v>1068</v>
      </c>
      <c r="AA70" t="s">
        <v>112</v>
      </c>
      <c r="AB70" t="s">
        <v>70</v>
      </c>
      <c r="AC70" t="s">
        <v>1069</v>
      </c>
      <c r="AD70" t="s">
        <v>1070</v>
      </c>
      <c r="AE70" t="s">
        <v>69</v>
      </c>
      <c r="AF70" t="s">
        <v>54</v>
      </c>
      <c r="AG70" t="s">
        <v>1071</v>
      </c>
      <c r="AH70" t="s">
        <v>1072</v>
      </c>
      <c r="AI70" t="s">
        <v>73</v>
      </c>
      <c r="AJ70" t="s">
        <v>70</v>
      </c>
      <c r="AK70" t="s">
        <v>71</v>
      </c>
      <c r="AL70" t="s">
        <v>1073</v>
      </c>
      <c r="AM70" t="s">
        <v>76</v>
      </c>
      <c r="AR70" t="s">
        <v>77</v>
      </c>
      <c r="AS70" t="s">
        <v>367</v>
      </c>
      <c r="AT70" t="s">
        <v>1074</v>
      </c>
      <c r="AU70" t="s">
        <v>83</v>
      </c>
      <c r="AV70" t="s">
        <v>1075</v>
      </c>
      <c r="AW70" t="str">
        <f>"3408850"</f>
        <v>3408850</v>
      </c>
    </row>
    <row r="71" spans="1:49">
      <c r="A71" t="str">
        <f t="shared" si="2"/>
        <v>03</v>
      </c>
      <c r="B71" t="s">
        <v>544</v>
      </c>
      <c r="C71" t="str">
        <f>"2860"</f>
        <v>2860</v>
      </c>
      <c r="D71" t="s">
        <v>1076</v>
      </c>
      <c r="F71" t="s">
        <v>77</v>
      </c>
      <c r="G71" t="s">
        <v>166</v>
      </c>
      <c r="H71" t="s">
        <v>1077</v>
      </c>
      <c r="I71" t="s">
        <v>57</v>
      </c>
      <c r="J71" s="2" t="s">
        <v>1078</v>
      </c>
      <c r="K71" t="s">
        <v>1079</v>
      </c>
      <c r="L71" t="s">
        <v>60</v>
      </c>
      <c r="M71" t="s">
        <v>1080</v>
      </c>
      <c r="N71" t="s">
        <v>62</v>
      </c>
      <c r="O71" t="str">
        <f>"07071"</f>
        <v>07071</v>
      </c>
      <c r="P71" t="s">
        <v>1079</v>
      </c>
      <c r="S71" t="s">
        <v>1080</v>
      </c>
      <c r="T71" t="s">
        <v>62</v>
      </c>
      <c r="U71" t="str">
        <f>"07071"</f>
        <v>07071</v>
      </c>
      <c r="W71" t="s">
        <v>1081</v>
      </c>
      <c r="X71" t="s">
        <v>77</v>
      </c>
      <c r="Y71" t="s">
        <v>404</v>
      </c>
      <c r="Z71" t="s">
        <v>1082</v>
      </c>
      <c r="AA71" t="s">
        <v>68</v>
      </c>
      <c r="AB71" t="s">
        <v>70</v>
      </c>
      <c r="AC71" t="s">
        <v>1083</v>
      </c>
      <c r="AD71" t="s">
        <v>1084</v>
      </c>
      <c r="AE71" t="s">
        <v>913</v>
      </c>
      <c r="AF71" t="s">
        <v>70</v>
      </c>
      <c r="AG71" t="s">
        <v>1083</v>
      </c>
      <c r="AH71" t="s">
        <v>1084</v>
      </c>
      <c r="AI71" t="s">
        <v>73</v>
      </c>
      <c r="AJ71" t="s">
        <v>70</v>
      </c>
      <c r="AK71" t="s">
        <v>1085</v>
      </c>
      <c r="AL71" t="s">
        <v>1086</v>
      </c>
      <c r="AM71" t="s">
        <v>76</v>
      </c>
      <c r="AR71" t="s">
        <v>77</v>
      </c>
      <c r="AS71" t="s">
        <v>436</v>
      </c>
      <c r="AT71" t="s">
        <v>1087</v>
      </c>
      <c r="AU71" t="s">
        <v>83</v>
      </c>
      <c r="AV71" t="s">
        <v>1088</v>
      </c>
      <c r="AW71" t="str">
        <f>"3409210"</f>
        <v>3409210</v>
      </c>
    </row>
    <row r="72" spans="1:49">
      <c r="A72" t="str">
        <f t="shared" si="2"/>
        <v>03</v>
      </c>
      <c r="B72" t="s">
        <v>544</v>
      </c>
      <c r="C72" t="str">
        <f>"2900"</f>
        <v>2900</v>
      </c>
      <c r="D72" t="s">
        <v>1089</v>
      </c>
      <c r="F72" t="s">
        <v>65</v>
      </c>
      <c r="G72" t="s">
        <v>208</v>
      </c>
      <c r="H72" t="s">
        <v>1090</v>
      </c>
      <c r="I72" t="s">
        <v>408</v>
      </c>
      <c r="J72" s="2" t="s">
        <v>1091</v>
      </c>
      <c r="K72" t="s">
        <v>1092</v>
      </c>
      <c r="L72" t="s">
        <v>60</v>
      </c>
      <c r="M72" t="s">
        <v>1093</v>
      </c>
      <c r="N72" t="s">
        <v>62</v>
      </c>
      <c r="O72" t="str">
        <f>"07430"</f>
        <v>07430</v>
      </c>
      <c r="P72" t="s">
        <v>1092</v>
      </c>
      <c r="S72" t="s">
        <v>1093</v>
      </c>
      <c r="T72" t="s">
        <v>62</v>
      </c>
      <c r="U72" t="str">
        <f>"07430"</f>
        <v>07430</v>
      </c>
      <c r="W72" t="s">
        <v>1094</v>
      </c>
      <c r="X72" t="s">
        <v>77</v>
      </c>
      <c r="Y72" t="s">
        <v>1095</v>
      </c>
      <c r="Z72" t="s">
        <v>1096</v>
      </c>
      <c r="AA72" t="s">
        <v>112</v>
      </c>
      <c r="AB72" t="s">
        <v>70</v>
      </c>
      <c r="AC72" t="s">
        <v>150</v>
      </c>
      <c r="AD72" t="s">
        <v>1097</v>
      </c>
      <c r="AE72" t="s">
        <v>98</v>
      </c>
      <c r="AF72" t="s">
        <v>70</v>
      </c>
      <c r="AG72" t="s">
        <v>150</v>
      </c>
      <c r="AH72" t="s">
        <v>1097</v>
      </c>
      <c r="AI72" t="s">
        <v>73</v>
      </c>
      <c r="AJ72" t="s">
        <v>77</v>
      </c>
      <c r="AK72" t="s">
        <v>367</v>
      </c>
      <c r="AL72" t="s">
        <v>1098</v>
      </c>
      <c r="AM72" t="s">
        <v>76</v>
      </c>
      <c r="AN72" t="s">
        <v>77</v>
      </c>
      <c r="AO72" t="s">
        <v>1099</v>
      </c>
      <c r="AP72" t="s">
        <v>1100</v>
      </c>
      <c r="AQ72" t="s">
        <v>80</v>
      </c>
      <c r="AR72" t="s">
        <v>65</v>
      </c>
      <c r="AS72" t="s">
        <v>120</v>
      </c>
      <c r="AT72" t="s">
        <v>1101</v>
      </c>
      <c r="AU72" t="s">
        <v>83</v>
      </c>
      <c r="AV72" t="s">
        <v>1102</v>
      </c>
      <c r="AW72" t="str">
        <f>"3409330"</f>
        <v>3409330</v>
      </c>
    </row>
    <row r="73" spans="1:49">
      <c r="A73" t="str">
        <f t="shared" si="2"/>
        <v>03</v>
      </c>
      <c r="B73" t="s">
        <v>544</v>
      </c>
      <c r="C73" t="str">
        <f>"3060"</f>
        <v>3060</v>
      </c>
      <c r="D73" t="s">
        <v>1103</v>
      </c>
      <c r="F73" t="s">
        <v>77</v>
      </c>
      <c r="G73" t="s">
        <v>120</v>
      </c>
      <c r="H73" t="s">
        <v>1104</v>
      </c>
      <c r="I73" t="s">
        <v>89</v>
      </c>
      <c r="J73" s="2" t="s">
        <v>1105</v>
      </c>
      <c r="K73" t="s">
        <v>1106</v>
      </c>
      <c r="L73" t="s">
        <v>60</v>
      </c>
      <c r="M73" t="s">
        <v>1107</v>
      </c>
      <c r="N73" t="s">
        <v>62</v>
      </c>
      <c r="O73" t="str">
        <f>"07607"</f>
        <v>07607</v>
      </c>
      <c r="P73" t="s">
        <v>1106</v>
      </c>
      <c r="S73" t="s">
        <v>1107</v>
      </c>
      <c r="T73" t="s">
        <v>62</v>
      </c>
      <c r="U73" t="str">
        <f>"07607"</f>
        <v>07607</v>
      </c>
      <c r="W73" t="s">
        <v>1108</v>
      </c>
      <c r="X73" t="s">
        <v>70</v>
      </c>
      <c r="Y73" t="s">
        <v>155</v>
      </c>
      <c r="Z73" t="s">
        <v>1109</v>
      </c>
      <c r="AA73" t="s">
        <v>135</v>
      </c>
      <c r="AB73" t="s">
        <v>70</v>
      </c>
      <c r="AC73" t="s">
        <v>1110</v>
      </c>
      <c r="AD73" t="s">
        <v>525</v>
      </c>
      <c r="AE73" t="s">
        <v>913</v>
      </c>
      <c r="AF73" t="s">
        <v>70</v>
      </c>
      <c r="AG73" t="s">
        <v>1110</v>
      </c>
      <c r="AH73" t="s">
        <v>525</v>
      </c>
      <c r="AI73" t="s">
        <v>73</v>
      </c>
      <c r="AJ73" t="s">
        <v>70</v>
      </c>
      <c r="AK73" t="s">
        <v>1111</v>
      </c>
      <c r="AL73" t="s">
        <v>1112</v>
      </c>
      <c r="AM73" t="s">
        <v>76</v>
      </c>
      <c r="AN73" t="s">
        <v>77</v>
      </c>
      <c r="AO73" t="s">
        <v>1113</v>
      </c>
      <c r="AP73" t="s">
        <v>167</v>
      </c>
      <c r="AQ73" t="s">
        <v>80</v>
      </c>
      <c r="AR73" t="s">
        <v>77</v>
      </c>
      <c r="AS73" t="s">
        <v>120</v>
      </c>
      <c r="AT73" t="s">
        <v>1114</v>
      </c>
      <c r="AU73" t="s">
        <v>83</v>
      </c>
      <c r="AV73" t="s">
        <v>1115</v>
      </c>
      <c r="AW73" t="str">
        <f>"3409810"</f>
        <v>3409810</v>
      </c>
    </row>
    <row r="74" spans="1:49">
      <c r="A74" t="str">
        <f t="shared" si="2"/>
        <v>03</v>
      </c>
      <c r="B74" t="s">
        <v>544</v>
      </c>
      <c r="C74" t="str">
        <f>"3170"</f>
        <v>3170</v>
      </c>
      <c r="D74" t="s">
        <v>1116</v>
      </c>
      <c r="F74" t="s">
        <v>65</v>
      </c>
      <c r="G74" t="s">
        <v>1117</v>
      </c>
      <c r="H74" t="s">
        <v>1118</v>
      </c>
      <c r="I74" t="s">
        <v>89</v>
      </c>
      <c r="J74" s="2" t="s">
        <v>1119</v>
      </c>
      <c r="K74" t="s">
        <v>1120</v>
      </c>
      <c r="L74" t="s">
        <v>60</v>
      </c>
      <c r="M74" t="s">
        <v>1121</v>
      </c>
      <c r="N74" t="s">
        <v>62</v>
      </c>
      <c r="O74" t="s">
        <v>1122</v>
      </c>
      <c r="P74" t="s">
        <v>1120</v>
      </c>
      <c r="S74" t="s">
        <v>1121</v>
      </c>
      <c r="T74" t="s">
        <v>62</v>
      </c>
      <c r="U74" t="str">
        <f>"07432"</f>
        <v>07432</v>
      </c>
      <c r="V74" t="str">
        <f>"1398"</f>
        <v>1398</v>
      </c>
      <c r="W74" t="s">
        <v>1123</v>
      </c>
      <c r="X74" t="s">
        <v>54</v>
      </c>
      <c r="Y74" t="s">
        <v>1124</v>
      </c>
      <c r="Z74" t="s">
        <v>1125</v>
      </c>
      <c r="AA74" t="s">
        <v>135</v>
      </c>
      <c r="AB74" t="s">
        <v>54</v>
      </c>
      <c r="AC74" t="s">
        <v>1126</v>
      </c>
      <c r="AD74" t="s">
        <v>1127</v>
      </c>
      <c r="AE74" t="s">
        <v>98</v>
      </c>
      <c r="AF74" t="s">
        <v>77</v>
      </c>
      <c r="AG74" t="s">
        <v>1128</v>
      </c>
      <c r="AH74" t="s">
        <v>1129</v>
      </c>
      <c r="AI74" t="s">
        <v>73</v>
      </c>
      <c r="AJ74" t="s">
        <v>77</v>
      </c>
      <c r="AK74" t="s">
        <v>994</v>
      </c>
      <c r="AL74" t="s">
        <v>1130</v>
      </c>
      <c r="AM74" t="s">
        <v>76</v>
      </c>
      <c r="AN74" t="s">
        <v>54</v>
      </c>
      <c r="AO74" t="s">
        <v>1131</v>
      </c>
      <c r="AP74" t="s">
        <v>1132</v>
      </c>
      <c r="AQ74" t="s">
        <v>80</v>
      </c>
      <c r="AR74" t="s">
        <v>77</v>
      </c>
      <c r="AS74" t="s">
        <v>663</v>
      </c>
      <c r="AT74" t="s">
        <v>1133</v>
      </c>
      <c r="AU74" t="s">
        <v>83</v>
      </c>
      <c r="AV74" t="s">
        <v>1134</v>
      </c>
      <c r="AW74" t="str">
        <f>"3410140"</f>
        <v>3410140</v>
      </c>
    </row>
    <row r="75" spans="1:49">
      <c r="A75" t="str">
        <f t="shared" si="2"/>
        <v>03</v>
      </c>
      <c r="B75" t="s">
        <v>544</v>
      </c>
      <c r="C75" t="str">
        <f>"3330"</f>
        <v>3330</v>
      </c>
      <c r="D75" t="s">
        <v>1135</v>
      </c>
      <c r="F75" t="s">
        <v>65</v>
      </c>
      <c r="G75" t="s">
        <v>1136</v>
      </c>
      <c r="H75" t="s">
        <v>290</v>
      </c>
      <c r="I75" t="s">
        <v>89</v>
      </c>
      <c r="J75" s="2" t="s">
        <v>1137</v>
      </c>
      <c r="K75" t="s">
        <v>1138</v>
      </c>
      <c r="L75" t="s">
        <v>60</v>
      </c>
      <c r="M75" t="s">
        <v>1139</v>
      </c>
      <c r="N75" t="s">
        <v>62</v>
      </c>
      <c r="O75" t="str">
        <f>"07645"</f>
        <v>07645</v>
      </c>
      <c r="P75" t="s">
        <v>1138</v>
      </c>
      <c r="S75" t="s">
        <v>1139</v>
      </c>
      <c r="T75" t="s">
        <v>62</v>
      </c>
      <c r="U75" t="str">
        <f>"07645"</f>
        <v>07645</v>
      </c>
      <c r="W75" t="s">
        <v>1140</v>
      </c>
      <c r="X75" t="s">
        <v>54</v>
      </c>
      <c r="Y75" t="s">
        <v>607</v>
      </c>
      <c r="Z75" t="s">
        <v>1141</v>
      </c>
      <c r="AA75" t="s">
        <v>135</v>
      </c>
      <c r="AB75" t="s">
        <v>54</v>
      </c>
      <c r="AC75" t="s">
        <v>1142</v>
      </c>
      <c r="AD75" t="s">
        <v>1143</v>
      </c>
      <c r="AE75" t="s">
        <v>69</v>
      </c>
      <c r="AF75" t="s">
        <v>54</v>
      </c>
      <c r="AG75" t="s">
        <v>1142</v>
      </c>
      <c r="AH75" t="s">
        <v>1143</v>
      </c>
      <c r="AI75" t="s">
        <v>73</v>
      </c>
      <c r="AJ75" t="s">
        <v>65</v>
      </c>
      <c r="AK75" t="s">
        <v>1144</v>
      </c>
      <c r="AL75" t="s">
        <v>1145</v>
      </c>
      <c r="AM75" t="s">
        <v>76</v>
      </c>
      <c r="AN75" t="s">
        <v>77</v>
      </c>
      <c r="AO75" t="s">
        <v>994</v>
      </c>
      <c r="AP75" t="s">
        <v>1146</v>
      </c>
      <c r="AQ75" t="s">
        <v>80</v>
      </c>
      <c r="AR75" t="s">
        <v>65</v>
      </c>
      <c r="AS75" t="s">
        <v>1136</v>
      </c>
      <c r="AT75" t="s">
        <v>290</v>
      </c>
      <c r="AU75" t="s">
        <v>83</v>
      </c>
      <c r="AV75" t="s">
        <v>1147</v>
      </c>
      <c r="AW75" t="str">
        <f>"3410620"</f>
        <v>3410620</v>
      </c>
    </row>
    <row r="76" spans="1:49">
      <c r="A76" t="str">
        <f t="shared" si="2"/>
        <v>03</v>
      </c>
      <c r="B76" t="s">
        <v>544</v>
      </c>
      <c r="C76" t="str">
        <f>"3350"</f>
        <v>3350</v>
      </c>
      <c r="D76" t="s">
        <v>1148</v>
      </c>
      <c r="F76" t="s">
        <v>77</v>
      </c>
      <c r="G76" t="s">
        <v>182</v>
      </c>
      <c r="H76" t="s">
        <v>1149</v>
      </c>
      <c r="I76" t="s">
        <v>57</v>
      </c>
      <c r="J76" s="2" t="s">
        <v>1150</v>
      </c>
      <c r="K76" t="s">
        <v>1151</v>
      </c>
      <c r="L76" t="s">
        <v>60</v>
      </c>
      <c r="M76" t="s">
        <v>1152</v>
      </c>
      <c r="N76" t="s">
        <v>62</v>
      </c>
      <c r="O76" t="str">
        <f>"07074"</f>
        <v>07074</v>
      </c>
      <c r="P76" t="s">
        <v>1151</v>
      </c>
      <c r="S76" t="s">
        <v>1152</v>
      </c>
      <c r="T76" t="s">
        <v>62</v>
      </c>
      <c r="U76" t="str">
        <f>"07074"</f>
        <v>07074</v>
      </c>
      <c r="W76" t="s">
        <v>1153</v>
      </c>
      <c r="X76" t="s">
        <v>54</v>
      </c>
      <c r="Y76" t="s">
        <v>1154</v>
      </c>
      <c r="Z76" t="s">
        <v>1155</v>
      </c>
      <c r="AA76" t="s">
        <v>135</v>
      </c>
      <c r="AB76" t="s">
        <v>77</v>
      </c>
      <c r="AC76" t="s">
        <v>182</v>
      </c>
      <c r="AD76" t="s">
        <v>1149</v>
      </c>
      <c r="AE76" t="s">
        <v>913</v>
      </c>
      <c r="AF76" t="s">
        <v>77</v>
      </c>
      <c r="AG76" t="s">
        <v>182</v>
      </c>
      <c r="AH76" t="s">
        <v>1149</v>
      </c>
      <c r="AI76" t="s">
        <v>73</v>
      </c>
      <c r="AJ76" t="s">
        <v>77</v>
      </c>
      <c r="AK76" t="s">
        <v>182</v>
      </c>
      <c r="AL76" t="s">
        <v>1149</v>
      </c>
      <c r="AM76" t="s">
        <v>76</v>
      </c>
      <c r="AN76" t="s">
        <v>77</v>
      </c>
      <c r="AO76" t="s">
        <v>243</v>
      </c>
      <c r="AP76" t="s">
        <v>1156</v>
      </c>
      <c r="AQ76" t="s">
        <v>80</v>
      </c>
      <c r="AR76" t="s">
        <v>77</v>
      </c>
      <c r="AS76" t="s">
        <v>182</v>
      </c>
      <c r="AT76" t="s">
        <v>1149</v>
      </c>
      <c r="AU76" t="s">
        <v>83</v>
      </c>
      <c r="AV76" t="s">
        <v>1157</v>
      </c>
      <c r="AW76" t="str">
        <f>"3410680"</f>
        <v>3410680</v>
      </c>
    </row>
    <row r="77" spans="1:49">
      <c r="A77" t="str">
        <f t="shared" si="2"/>
        <v>03</v>
      </c>
      <c r="B77" t="s">
        <v>544</v>
      </c>
      <c r="C77" t="str">
        <f>"3550"</f>
        <v>3550</v>
      </c>
      <c r="D77" t="s">
        <v>1158</v>
      </c>
      <c r="F77" t="s">
        <v>77</v>
      </c>
      <c r="G77" t="s">
        <v>120</v>
      </c>
      <c r="H77" t="s">
        <v>1159</v>
      </c>
      <c r="I77" t="s">
        <v>89</v>
      </c>
      <c r="J77" s="2" t="s">
        <v>1160</v>
      </c>
      <c r="K77" t="s">
        <v>1161</v>
      </c>
      <c r="L77" t="s">
        <v>60</v>
      </c>
      <c r="M77" t="s">
        <v>1162</v>
      </c>
      <c r="N77" t="s">
        <v>62</v>
      </c>
      <c r="O77" t="str">
        <f>"07646"</f>
        <v>07646</v>
      </c>
      <c r="P77" t="s">
        <v>1161</v>
      </c>
      <c r="S77" t="s">
        <v>1162</v>
      </c>
      <c r="T77" t="s">
        <v>62</v>
      </c>
      <c r="U77" t="str">
        <f>"07646"</f>
        <v>07646</v>
      </c>
      <c r="W77" t="s">
        <v>1163</v>
      </c>
      <c r="X77" t="s">
        <v>70</v>
      </c>
      <c r="Y77" t="s">
        <v>1164</v>
      </c>
      <c r="Z77" t="s">
        <v>1165</v>
      </c>
      <c r="AA77" t="s">
        <v>135</v>
      </c>
      <c r="AB77" t="s">
        <v>65</v>
      </c>
      <c r="AC77" t="s">
        <v>1166</v>
      </c>
      <c r="AD77" t="s">
        <v>1167</v>
      </c>
      <c r="AE77" t="s">
        <v>98</v>
      </c>
      <c r="AF77" t="s">
        <v>70</v>
      </c>
      <c r="AG77" t="s">
        <v>1168</v>
      </c>
      <c r="AH77" t="s">
        <v>1169</v>
      </c>
      <c r="AI77" t="s">
        <v>73</v>
      </c>
      <c r="AJ77" t="s">
        <v>70</v>
      </c>
      <c r="AK77" t="s">
        <v>71</v>
      </c>
      <c r="AL77" t="s">
        <v>1170</v>
      </c>
      <c r="AM77" t="s">
        <v>76</v>
      </c>
      <c r="AR77" t="s">
        <v>77</v>
      </c>
      <c r="AS77" t="s">
        <v>120</v>
      </c>
      <c r="AT77" t="s">
        <v>1159</v>
      </c>
      <c r="AU77" t="s">
        <v>83</v>
      </c>
      <c r="AV77" t="s">
        <v>1171</v>
      </c>
      <c r="AW77" t="str">
        <f>"3411280"</f>
        <v>3411280</v>
      </c>
    </row>
    <row r="78" spans="1:49">
      <c r="A78" t="str">
        <f t="shared" si="2"/>
        <v>03</v>
      </c>
      <c r="B78" t="s">
        <v>544</v>
      </c>
      <c r="C78" t="str">
        <f>"3600"</f>
        <v>3600</v>
      </c>
      <c r="D78" t="s">
        <v>1172</v>
      </c>
      <c r="F78" t="s">
        <v>65</v>
      </c>
      <c r="G78" t="s">
        <v>78</v>
      </c>
      <c r="H78" t="s">
        <v>1173</v>
      </c>
      <c r="I78" t="s">
        <v>89</v>
      </c>
      <c r="J78" s="2" t="s">
        <v>1174</v>
      </c>
      <c r="K78" t="s">
        <v>1175</v>
      </c>
      <c r="L78" t="s">
        <v>60</v>
      </c>
      <c r="M78" t="s">
        <v>1176</v>
      </c>
      <c r="N78" t="s">
        <v>62</v>
      </c>
      <c r="O78" t="str">
        <f>"07031"</f>
        <v>07031</v>
      </c>
      <c r="P78" t="s">
        <v>1175</v>
      </c>
      <c r="Q78" t="s">
        <v>1177</v>
      </c>
      <c r="S78" t="s">
        <v>1176</v>
      </c>
      <c r="T78" t="s">
        <v>62</v>
      </c>
      <c r="U78" t="str">
        <f>"07031"</f>
        <v>07031</v>
      </c>
      <c r="W78" t="s">
        <v>1178</v>
      </c>
      <c r="X78" t="s">
        <v>54</v>
      </c>
      <c r="Y78" t="s">
        <v>262</v>
      </c>
      <c r="Z78" t="s">
        <v>1179</v>
      </c>
      <c r="AA78" t="s">
        <v>135</v>
      </c>
      <c r="AB78" t="s">
        <v>77</v>
      </c>
      <c r="AC78" t="s">
        <v>120</v>
      </c>
      <c r="AD78" t="s">
        <v>706</v>
      </c>
      <c r="AE78" t="s">
        <v>98</v>
      </c>
      <c r="AF78" t="s">
        <v>77</v>
      </c>
      <c r="AG78" t="s">
        <v>1067</v>
      </c>
      <c r="AH78" t="s">
        <v>1180</v>
      </c>
      <c r="AI78" t="s">
        <v>73</v>
      </c>
      <c r="AJ78" t="s">
        <v>70</v>
      </c>
      <c r="AK78" t="s">
        <v>262</v>
      </c>
      <c r="AL78" t="s">
        <v>1181</v>
      </c>
      <c r="AM78" t="s">
        <v>76</v>
      </c>
      <c r="AR78" t="s">
        <v>70</v>
      </c>
      <c r="AS78" t="s">
        <v>1182</v>
      </c>
      <c r="AT78" t="s">
        <v>1183</v>
      </c>
      <c r="AU78" t="s">
        <v>83</v>
      </c>
      <c r="AV78" t="s">
        <v>1184</v>
      </c>
      <c r="AW78" t="str">
        <f>"3411430"</f>
        <v>3411430</v>
      </c>
    </row>
    <row r="79" spans="1:49">
      <c r="A79" t="str">
        <f t="shared" si="2"/>
        <v>03</v>
      </c>
      <c r="B79" t="s">
        <v>544</v>
      </c>
      <c r="C79" t="str">
        <f>"3700"</f>
        <v>3700</v>
      </c>
      <c r="D79" t="s">
        <v>1185</v>
      </c>
      <c r="F79" t="s">
        <v>65</v>
      </c>
      <c r="G79" t="s">
        <v>1186</v>
      </c>
      <c r="H79" t="s">
        <v>1187</v>
      </c>
      <c r="I79" t="s">
        <v>89</v>
      </c>
      <c r="J79" s="2" t="s">
        <v>1188</v>
      </c>
      <c r="K79" t="s">
        <v>1189</v>
      </c>
      <c r="L79" t="s">
        <v>60</v>
      </c>
      <c r="M79" t="s">
        <v>549</v>
      </c>
      <c r="N79" t="s">
        <v>62</v>
      </c>
      <c r="O79" t="s">
        <v>1190</v>
      </c>
      <c r="P79" t="s">
        <v>1189</v>
      </c>
      <c r="S79" t="s">
        <v>549</v>
      </c>
      <c r="T79" t="s">
        <v>62</v>
      </c>
      <c r="U79" t="str">
        <f>"07401"</f>
        <v>07401</v>
      </c>
      <c r="V79" t="str">
        <f>"1447"</f>
        <v>1447</v>
      </c>
      <c r="W79" t="s">
        <v>1191</v>
      </c>
      <c r="X79" t="s">
        <v>70</v>
      </c>
      <c r="Y79" t="s">
        <v>1192</v>
      </c>
      <c r="Z79" t="s">
        <v>1193</v>
      </c>
      <c r="AA79" t="s">
        <v>112</v>
      </c>
      <c r="AB79" t="s">
        <v>77</v>
      </c>
      <c r="AC79" t="s">
        <v>319</v>
      </c>
      <c r="AD79" t="s">
        <v>1194</v>
      </c>
      <c r="AE79" t="s">
        <v>98</v>
      </c>
      <c r="AF79" t="s">
        <v>77</v>
      </c>
      <c r="AG79" t="s">
        <v>120</v>
      </c>
      <c r="AH79" t="s">
        <v>1195</v>
      </c>
      <c r="AI79" t="s">
        <v>73</v>
      </c>
      <c r="AJ79" t="s">
        <v>70</v>
      </c>
      <c r="AK79" t="s">
        <v>541</v>
      </c>
      <c r="AL79" t="s">
        <v>525</v>
      </c>
      <c r="AM79" t="s">
        <v>76</v>
      </c>
      <c r="AN79" t="s">
        <v>77</v>
      </c>
      <c r="AO79" t="s">
        <v>1196</v>
      </c>
      <c r="AP79" t="s">
        <v>1197</v>
      </c>
      <c r="AQ79" t="s">
        <v>80</v>
      </c>
      <c r="AR79" t="s">
        <v>77</v>
      </c>
      <c r="AS79" t="s">
        <v>120</v>
      </c>
      <c r="AT79" t="s">
        <v>1195</v>
      </c>
      <c r="AU79" t="s">
        <v>83</v>
      </c>
      <c r="AV79" t="s">
        <v>1198</v>
      </c>
      <c r="AW79" t="str">
        <f>"3411730"</f>
        <v>3411730</v>
      </c>
    </row>
    <row r="80" spans="1:49">
      <c r="A80" t="str">
        <f t="shared" si="2"/>
        <v>03</v>
      </c>
      <c r="B80" t="s">
        <v>544</v>
      </c>
      <c r="C80" t="str">
        <f>"3710"</f>
        <v>3710</v>
      </c>
      <c r="D80" t="s">
        <v>1199</v>
      </c>
      <c r="G80" t="s">
        <v>182</v>
      </c>
      <c r="H80" t="s">
        <v>1200</v>
      </c>
      <c r="I80" t="s">
        <v>89</v>
      </c>
      <c r="J80" s="2" t="s">
        <v>1201</v>
      </c>
      <c r="K80" t="s">
        <v>1202</v>
      </c>
      <c r="L80" t="s">
        <v>60</v>
      </c>
      <c r="M80" t="s">
        <v>722</v>
      </c>
      <c r="N80" t="s">
        <v>62</v>
      </c>
      <c r="O80" t="str">
        <f>"07627"</f>
        <v>07627</v>
      </c>
      <c r="P80" t="s">
        <v>1202</v>
      </c>
      <c r="S80" t="s">
        <v>722</v>
      </c>
      <c r="T80" t="s">
        <v>62</v>
      </c>
      <c r="U80" t="str">
        <f>"07627"</f>
        <v>07627</v>
      </c>
      <c r="W80" t="s">
        <v>1203</v>
      </c>
      <c r="Y80" t="s">
        <v>667</v>
      </c>
      <c r="Z80" t="s">
        <v>1204</v>
      </c>
      <c r="AA80" t="s">
        <v>135</v>
      </c>
      <c r="AC80" t="s">
        <v>353</v>
      </c>
      <c r="AD80" t="s">
        <v>1205</v>
      </c>
      <c r="AE80" t="s">
        <v>98</v>
      </c>
      <c r="AG80" t="s">
        <v>281</v>
      </c>
      <c r="AH80" t="s">
        <v>1206</v>
      </c>
      <c r="AI80" t="s">
        <v>73</v>
      </c>
      <c r="AK80" t="s">
        <v>281</v>
      </c>
      <c r="AL80" t="s">
        <v>1206</v>
      </c>
      <c r="AM80" t="s">
        <v>76</v>
      </c>
      <c r="AO80" t="s">
        <v>1207</v>
      </c>
      <c r="AP80" t="s">
        <v>1208</v>
      </c>
      <c r="AQ80" t="s">
        <v>80</v>
      </c>
      <c r="AS80" t="s">
        <v>1209</v>
      </c>
      <c r="AT80" t="s">
        <v>1210</v>
      </c>
      <c r="AU80" t="s">
        <v>83</v>
      </c>
      <c r="AV80" t="s">
        <v>1211</v>
      </c>
      <c r="AW80" t="str">
        <f>"3411760"</f>
        <v>3411760</v>
      </c>
    </row>
    <row r="81" spans="1:49">
      <c r="A81" t="str">
        <f t="shared" si="2"/>
        <v>03</v>
      </c>
      <c r="B81" t="s">
        <v>544</v>
      </c>
      <c r="C81" t="str">
        <f>"3730"</f>
        <v>3730</v>
      </c>
      <c r="D81" t="s">
        <v>1212</v>
      </c>
      <c r="F81" t="s">
        <v>77</v>
      </c>
      <c r="G81" t="s">
        <v>120</v>
      </c>
      <c r="H81" t="s">
        <v>1213</v>
      </c>
      <c r="I81" t="s">
        <v>89</v>
      </c>
      <c r="J81" s="2" t="s">
        <v>1214</v>
      </c>
      <c r="K81" t="s">
        <v>1215</v>
      </c>
      <c r="L81" t="s">
        <v>60</v>
      </c>
      <c r="M81" t="s">
        <v>1216</v>
      </c>
      <c r="N81" t="s">
        <v>62</v>
      </c>
      <c r="O81" t="str">
        <f>"07647"</f>
        <v>07647</v>
      </c>
      <c r="P81" t="s">
        <v>1215</v>
      </c>
      <c r="S81" t="s">
        <v>1216</v>
      </c>
      <c r="T81" t="s">
        <v>62</v>
      </c>
      <c r="U81" t="str">
        <f>"07647"</f>
        <v>07647</v>
      </c>
      <c r="W81" t="s">
        <v>1217</v>
      </c>
      <c r="X81" t="s">
        <v>77</v>
      </c>
      <c r="Y81" t="s">
        <v>677</v>
      </c>
      <c r="Z81" t="s">
        <v>1218</v>
      </c>
      <c r="AA81" t="s">
        <v>135</v>
      </c>
      <c r="AB81" t="s">
        <v>70</v>
      </c>
      <c r="AC81" t="s">
        <v>251</v>
      </c>
      <c r="AD81" t="s">
        <v>1219</v>
      </c>
      <c r="AE81" t="s">
        <v>433</v>
      </c>
      <c r="AF81" t="s">
        <v>77</v>
      </c>
      <c r="AG81" t="s">
        <v>120</v>
      </c>
      <c r="AH81" t="s">
        <v>1213</v>
      </c>
      <c r="AI81" t="s">
        <v>73</v>
      </c>
      <c r="AJ81" t="s">
        <v>54</v>
      </c>
      <c r="AK81" t="s">
        <v>1220</v>
      </c>
      <c r="AL81" t="s">
        <v>1221</v>
      </c>
      <c r="AM81" t="s">
        <v>76</v>
      </c>
      <c r="AN81" t="s">
        <v>77</v>
      </c>
      <c r="AO81" t="s">
        <v>367</v>
      </c>
      <c r="AP81" t="s">
        <v>854</v>
      </c>
      <c r="AQ81" t="s">
        <v>80</v>
      </c>
      <c r="AR81" t="s">
        <v>77</v>
      </c>
      <c r="AS81" t="s">
        <v>120</v>
      </c>
      <c r="AT81" t="s">
        <v>1213</v>
      </c>
      <c r="AU81" t="s">
        <v>83</v>
      </c>
      <c r="AV81" t="s">
        <v>1222</v>
      </c>
      <c r="AW81" t="str">
        <f>"3411820"</f>
        <v>3411820</v>
      </c>
    </row>
    <row r="82" spans="1:49">
      <c r="A82" t="str">
        <f t="shared" si="2"/>
        <v>03</v>
      </c>
      <c r="B82" t="s">
        <v>544</v>
      </c>
      <c r="C82" t="str">
        <f>"3740"</f>
        <v>3740</v>
      </c>
      <c r="D82" t="s">
        <v>1223</v>
      </c>
      <c r="F82" t="s">
        <v>70</v>
      </c>
      <c r="G82" t="s">
        <v>150</v>
      </c>
      <c r="H82" t="s">
        <v>248</v>
      </c>
      <c r="I82" t="s">
        <v>89</v>
      </c>
      <c r="J82" s="2" t="s">
        <v>1224</v>
      </c>
      <c r="K82" t="s">
        <v>1225</v>
      </c>
      <c r="L82" t="s">
        <v>60</v>
      </c>
      <c r="M82" t="s">
        <v>1226</v>
      </c>
      <c r="N82" t="s">
        <v>62</v>
      </c>
      <c r="O82" t="str">
        <f>"07648"</f>
        <v>07648</v>
      </c>
      <c r="P82" t="s">
        <v>1225</v>
      </c>
      <c r="S82" t="s">
        <v>1226</v>
      </c>
      <c r="T82" t="s">
        <v>62</v>
      </c>
      <c r="U82" t="str">
        <f>"07648"</f>
        <v>07648</v>
      </c>
      <c r="W82" t="s">
        <v>1227</v>
      </c>
      <c r="X82" t="s">
        <v>77</v>
      </c>
      <c r="Y82" t="s">
        <v>1228</v>
      </c>
      <c r="Z82" t="s">
        <v>258</v>
      </c>
      <c r="AA82" t="s">
        <v>135</v>
      </c>
      <c r="AB82" t="s">
        <v>77</v>
      </c>
      <c r="AC82" t="s">
        <v>190</v>
      </c>
      <c r="AD82" t="s">
        <v>1229</v>
      </c>
      <c r="AE82" t="s">
        <v>913</v>
      </c>
      <c r="AF82" t="s">
        <v>54</v>
      </c>
      <c r="AG82" t="s">
        <v>233</v>
      </c>
      <c r="AH82" t="s">
        <v>397</v>
      </c>
      <c r="AI82" t="s">
        <v>73</v>
      </c>
      <c r="AJ82" t="s">
        <v>77</v>
      </c>
      <c r="AK82" t="s">
        <v>1230</v>
      </c>
      <c r="AL82" t="s">
        <v>1231</v>
      </c>
      <c r="AM82" t="s">
        <v>76</v>
      </c>
      <c r="AN82" t="s">
        <v>77</v>
      </c>
      <c r="AO82" t="s">
        <v>1232</v>
      </c>
      <c r="AP82" t="s">
        <v>1233</v>
      </c>
      <c r="AQ82" t="s">
        <v>80</v>
      </c>
      <c r="AR82" t="s">
        <v>77</v>
      </c>
      <c r="AS82" t="s">
        <v>1228</v>
      </c>
      <c r="AT82" t="s">
        <v>258</v>
      </c>
      <c r="AU82" t="s">
        <v>83</v>
      </c>
      <c r="AV82" t="s">
        <v>1234</v>
      </c>
      <c r="AW82" t="str">
        <f>"3411850"</f>
        <v>3411850</v>
      </c>
    </row>
    <row r="83" spans="1:49">
      <c r="A83" t="str">
        <f t="shared" si="2"/>
        <v>03</v>
      </c>
      <c r="B83" t="s">
        <v>544</v>
      </c>
      <c r="C83" t="str">
        <f>"3760"</f>
        <v>3760</v>
      </c>
      <c r="D83" t="s">
        <v>1235</v>
      </c>
      <c r="F83" t="s">
        <v>65</v>
      </c>
      <c r="G83" t="s">
        <v>245</v>
      </c>
      <c r="H83" t="s">
        <v>1236</v>
      </c>
      <c r="I83" t="s">
        <v>57</v>
      </c>
      <c r="J83" s="2" t="s">
        <v>1237</v>
      </c>
      <c r="K83" t="s">
        <v>1238</v>
      </c>
      <c r="L83" t="s">
        <v>60</v>
      </c>
      <c r="M83" t="s">
        <v>1239</v>
      </c>
      <c r="N83" t="s">
        <v>62</v>
      </c>
      <c r="O83" t="str">
        <f>"07436"</f>
        <v>07436</v>
      </c>
      <c r="P83" t="s">
        <v>1238</v>
      </c>
      <c r="S83" t="s">
        <v>1239</v>
      </c>
      <c r="T83" t="s">
        <v>62</v>
      </c>
      <c r="U83" t="str">
        <f>"07436"</f>
        <v>07436</v>
      </c>
      <c r="W83" t="s">
        <v>1240</v>
      </c>
      <c r="X83" t="s">
        <v>70</v>
      </c>
      <c r="Y83" t="s">
        <v>297</v>
      </c>
      <c r="Z83" t="s">
        <v>1241</v>
      </c>
      <c r="AA83" t="s">
        <v>112</v>
      </c>
      <c r="AB83" t="s">
        <v>70</v>
      </c>
      <c r="AC83" t="s">
        <v>155</v>
      </c>
      <c r="AD83" t="s">
        <v>1242</v>
      </c>
      <c r="AE83" t="s">
        <v>98</v>
      </c>
      <c r="AF83" t="s">
        <v>77</v>
      </c>
      <c r="AG83" t="s">
        <v>570</v>
      </c>
      <c r="AH83" t="s">
        <v>1243</v>
      </c>
      <c r="AI83" t="s">
        <v>73</v>
      </c>
      <c r="AJ83" t="s">
        <v>70</v>
      </c>
      <c r="AK83" t="s">
        <v>1244</v>
      </c>
      <c r="AL83" t="s">
        <v>1245</v>
      </c>
      <c r="AM83" t="s">
        <v>76</v>
      </c>
      <c r="AN83" t="s">
        <v>70</v>
      </c>
      <c r="AO83" t="s">
        <v>1246</v>
      </c>
      <c r="AP83" t="s">
        <v>1247</v>
      </c>
      <c r="AQ83" t="s">
        <v>80</v>
      </c>
      <c r="AR83" t="s">
        <v>70</v>
      </c>
      <c r="AS83" t="s">
        <v>570</v>
      </c>
      <c r="AT83" t="s">
        <v>1243</v>
      </c>
      <c r="AU83" t="s">
        <v>83</v>
      </c>
      <c r="AV83" t="s">
        <v>1248</v>
      </c>
      <c r="AW83" t="str">
        <f>"3411910"</f>
        <v>3411910</v>
      </c>
    </row>
    <row r="84" spans="1:49">
      <c r="A84" t="str">
        <f t="shared" si="2"/>
        <v>03</v>
      </c>
      <c r="B84" t="s">
        <v>544</v>
      </c>
      <c r="C84" t="str">
        <f>"3850"</f>
        <v>3850</v>
      </c>
      <c r="D84" t="s">
        <v>1249</v>
      </c>
      <c r="F84" t="s">
        <v>65</v>
      </c>
      <c r="G84" t="s">
        <v>1250</v>
      </c>
      <c r="H84" t="s">
        <v>1251</v>
      </c>
      <c r="I84" t="s">
        <v>89</v>
      </c>
      <c r="J84" s="2" t="s">
        <v>1252</v>
      </c>
      <c r="K84" t="s">
        <v>1253</v>
      </c>
      <c r="L84" t="s">
        <v>60</v>
      </c>
      <c r="M84" t="s">
        <v>1254</v>
      </c>
      <c r="N84" t="s">
        <v>62</v>
      </c>
      <c r="O84" t="str">
        <f>"07675"</f>
        <v>07675</v>
      </c>
      <c r="P84" t="s">
        <v>1253</v>
      </c>
      <c r="S84" t="s">
        <v>1254</v>
      </c>
      <c r="T84" t="s">
        <v>62</v>
      </c>
      <c r="U84" t="str">
        <f>"07675"</f>
        <v>07675</v>
      </c>
      <c r="W84" t="s">
        <v>1255</v>
      </c>
      <c r="X84" t="s">
        <v>77</v>
      </c>
      <c r="Y84" t="s">
        <v>1061</v>
      </c>
      <c r="Z84" t="s">
        <v>1256</v>
      </c>
      <c r="AA84" t="s">
        <v>135</v>
      </c>
      <c r="AB84" t="s">
        <v>70</v>
      </c>
      <c r="AC84" t="s">
        <v>1257</v>
      </c>
      <c r="AD84" t="s">
        <v>1258</v>
      </c>
      <c r="AE84" t="s">
        <v>181</v>
      </c>
      <c r="AF84" t="s">
        <v>77</v>
      </c>
      <c r="AG84" t="s">
        <v>1259</v>
      </c>
      <c r="AH84" t="s">
        <v>1260</v>
      </c>
      <c r="AI84" t="s">
        <v>73</v>
      </c>
      <c r="AJ84" t="s">
        <v>65</v>
      </c>
      <c r="AK84" t="s">
        <v>932</v>
      </c>
      <c r="AL84" t="s">
        <v>1261</v>
      </c>
      <c r="AM84" t="s">
        <v>76</v>
      </c>
      <c r="AN84" t="s">
        <v>70</v>
      </c>
      <c r="AO84" t="s">
        <v>1262</v>
      </c>
      <c r="AP84" t="s">
        <v>1263</v>
      </c>
      <c r="AQ84" t="s">
        <v>80</v>
      </c>
      <c r="AR84" t="s">
        <v>77</v>
      </c>
      <c r="AS84" t="s">
        <v>1061</v>
      </c>
      <c r="AT84" t="s">
        <v>1256</v>
      </c>
      <c r="AU84" t="s">
        <v>83</v>
      </c>
      <c r="AV84" t="s">
        <v>1264</v>
      </c>
      <c r="AW84" t="str">
        <f>"3412180"</f>
        <v>3412180</v>
      </c>
    </row>
    <row r="85" spans="1:49">
      <c r="A85" t="str">
        <f t="shared" si="2"/>
        <v>03</v>
      </c>
      <c r="B85" t="s">
        <v>544</v>
      </c>
      <c r="C85" t="str">
        <f>"3870"</f>
        <v>3870</v>
      </c>
      <c r="D85" t="s">
        <v>1265</v>
      </c>
      <c r="F85" t="s">
        <v>54</v>
      </c>
      <c r="G85" t="s">
        <v>353</v>
      </c>
      <c r="H85" t="s">
        <v>1266</v>
      </c>
      <c r="I85" t="s">
        <v>408</v>
      </c>
      <c r="J85" s="2" t="s">
        <v>1267</v>
      </c>
      <c r="K85" t="s">
        <v>1268</v>
      </c>
      <c r="L85" t="s">
        <v>60</v>
      </c>
      <c r="M85" t="s">
        <v>1269</v>
      </c>
      <c r="N85" t="s">
        <v>62</v>
      </c>
      <c r="O85" t="str">
        <f>"07649"</f>
        <v>07649</v>
      </c>
      <c r="P85" t="s">
        <v>1268</v>
      </c>
      <c r="S85" t="s">
        <v>1269</v>
      </c>
      <c r="T85" t="s">
        <v>62</v>
      </c>
      <c r="U85" t="str">
        <f>"07649"</f>
        <v>07649</v>
      </c>
      <c r="W85" t="s">
        <v>1270</v>
      </c>
      <c r="X85" t="s">
        <v>77</v>
      </c>
      <c r="Y85" t="s">
        <v>328</v>
      </c>
      <c r="Z85" t="s">
        <v>1271</v>
      </c>
      <c r="AA85" t="s">
        <v>135</v>
      </c>
      <c r="AB85" t="s">
        <v>54</v>
      </c>
      <c r="AC85" t="s">
        <v>1272</v>
      </c>
      <c r="AD85" t="s">
        <v>1273</v>
      </c>
      <c r="AE85" t="s">
        <v>587</v>
      </c>
      <c r="AF85" t="s">
        <v>70</v>
      </c>
      <c r="AG85" t="s">
        <v>645</v>
      </c>
      <c r="AH85" t="s">
        <v>1274</v>
      </c>
      <c r="AI85" t="s">
        <v>73</v>
      </c>
      <c r="AJ85" t="s">
        <v>70</v>
      </c>
      <c r="AK85" t="s">
        <v>645</v>
      </c>
      <c r="AL85" t="s">
        <v>1274</v>
      </c>
      <c r="AM85" t="s">
        <v>76</v>
      </c>
      <c r="AN85" t="s">
        <v>77</v>
      </c>
      <c r="AO85" t="s">
        <v>328</v>
      </c>
      <c r="AP85" t="s">
        <v>1271</v>
      </c>
      <c r="AQ85" t="s">
        <v>80</v>
      </c>
      <c r="AR85" t="s">
        <v>54</v>
      </c>
      <c r="AS85" t="s">
        <v>353</v>
      </c>
      <c r="AT85" t="s">
        <v>1266</v>
      </c>
      <c r="AU85" t="s">
        <v>83</v>
      </c>
      <c r="AV85" t="s">
        <v>1275</v>
      </c>
      <c r="AW85" t="str">
        <f>"3412240"</f>
        <v>3412240</v>
      </c>
    </row>
    <row r="86" spans="1:49">
      <c r="A86" t="str">
        <f t="shared" si="2"/>
        <v>03</v>
      </c>
      <c r="B86" t="s">
        <v>544</v>
      </c>
      <c r="C86" t="str">
        <f>"3910"</f>
        <v>3910</v>
      </c>
      <c r="D86" t="s">
        <v>1276</v>
      </c>
      <c r="F86" t="s">
        <v>65</v>
      </c>
      <c r="G86" t="s">
        <v>358</v>
      </c>
      <c r="H86" t="s">
        <v>1277</v>
      </c>
      <c r="I86" t="s">
        <v>89</v>
      </c>
      <c r="J86" s="2" t="s">
        <v>1278</v>
      </c>
      <c r="K86" t="s">
        <v>1279</v>
      </c>
      <c r="L86" t="s">
        <v>60</v>
      </c>
      <c r="M86" t="s">
        <v>1280</v>
      </c>
      <c r="N86" t="s">
        <v>62</v>
      </c>
      <c r="O86" t="str">
        <f>"07650"</f>
        <v>07650</v>
      </c>
      <c r="P86" t="s">
        <v>1279</v>
      </c>
      <c r="S86" t="s">
        <v>1280</v>
      </c>
      <c r="T86" t="s">
        <v>62</v>
      </c>
      <c r="U86" t="str">
        <f>"07650"</f>
        <v>07650</v>
      </c>
      <c r="W86" t="s">
        <v>1281</v>
      </c>
      <c r="X86" t="s">
        <v>70</v>
      </c>
      <c r="Y86" t="s">
        <v>1282</v>
      </c>
      <c r="Z86" t="s">
        <v>1283</v>
      </c>
      <c r="AA86" t="s">
        <v>135</v>
      </c>
      <c r="AB86" t="s">
        <v>70</v>
      </c>
      <c r="AC86" t="s">
        <v>1284</v>
      </c>
      <c r="AD86" t="s">
        <v>1285</v>
      </c>
      <c r="AE86" t="s">
        <v>69</v>
      </c>
      <c r="AF86" t="s">
        <v>65</v>
      </c>
      <c r="AG86" t="s">
        <v>358</v>
      </c>
      <c r="AH86" t="s">
        <v>1277</v>
      </c>
      <c r="AI86" t="s">
        <v>73</v>
      </c>
      <c r="AJ86" t="s">
        <v>54</v>
      </c>
      <c r="AK86" t="s">
        <v>932</v>
      </c>
      <c r="AL86" t="s">
        <v>1286</v>
      </c>
      <c r="AM86" t="s">
        <v>76</v>
      </c>
      <c r="AN86" t="s">
        <v>77</v>
      </c>
      <c r="AO86" t="s">
        <v>1287</v>
      </c>
      <c r="AP86" t="s">
        <v>1288</v>
      </c>
      <c r="AQ86" t="s">
        <v>80</v>
      </c>
      <c r="AR86" t="s">
        <v>77</v>
      </c>
      <c r="AS86" t="s">
        <v>1289</v>
      </c>
      <c r="AT86" t="s">
        <v>1290</v>
      </c>
      <c r="AU86" t="s">
        <v>83</v>
      </c>
      <c r="AV86" t="s">
        <v>1291</v>
      </c>
      <c r="AW86" t="str">
        <f>"3412360"</f>
        <v>3412360</v>
      </c>
    </row>
    <row r="87" spans="1:49">
      <c r="A87" t="str">
        <f t="shared" ref="A87:A104" si="3">"03"</f>
        <v>03</v>
      </c>
      <c r="B87" t="s">
        <v>544</v>
      </c>
      <c r="C87" t="str">
        <f>"3930"</f>
        <v>3930</v>
      </c>
      <c r="D87" t="s">
        <v>1292</v>
      </c>
      <c r="F87" t="s">
        <v>77</v>
      </c>
      <c r="G87" t="s">
        <v>570</v>
      </c>
      <c r="H87" t="s">
        <v>1293</v>
      </c>
      <c r="I87" t="s">
        <v>57</v>
      </c>
      <c r="J87" s="2" t="s">
        <v>1294</v>
      </c>
      <c r="K87" t="s">
        <v>1295</v>
      </c>
      <c r="L87" t="s">
        <v>60</v>
      </c>
      <c r="M87" t="s">
        <v>597</v>
      </c>
      <c r="N87" t="s">
        <v>62</v>
      </c>
      <c r="O87" t="str">
        <f>"07652"</f>
        <v>07652</v>
      </c>
      <c r="P87" t="s">
        <v>1295</v>
      </c>
      <c r="S87" t="s">
        <v>597</v>
      </c>
      <c r="T87" t="s">
        <v>62</v>
      </c>
      <c r="U87" t="str">
        <f>"07652"</f>
        <v>07652</v>
      </c>
      <c r="W87" t="s">
        <v>1296</v>
      </c>
      <c r="X87" t="s">
        <v>77</v>
      </c>
      <c r="Y87" t="s">
        <v>534</v>
      </c>
      <c r="Z87" t="s">
        <v>1297</v>
      </c>
      <c r="AA87" t="s">
        <v>135</v>
      </c>
      <c r="AB87" t="s">
        <v>70</v>
      </c>
      <c r="AC87" t="s">
        <v>1298</v>
      </c>
      <c r="AD87" t="s">
        <v>1299</v>
      </c>
      <c r="AE87" t="s">
        <v>913</v>
      </c>
      <c r="AF87" t="s">
        <v>70</v>
      </c>
      <c r="AG87" t="s">
        <v>1300</v>
      </c>
      <c r="AH87" t="s">
        <v>1247</v>
      </c>
      <c r="AI87" t="s">
        <v>73</v>
      </c>
      <c r="AJ87" t="s">
        <v>70</v>
      </c>
      <c r="AK87" t="s">
        <v>1300</v>
      </c>
      <c r="AL87" t="s">
        <v>1247</v>
      </c>
      <c r="AM87" t="s">
        <v>76</v>
      </c>
      <c r="AN87" t="s">
        <v>77</v>
      </c>
      <c r="AO87" t="s">
        <v>994</v>
      </c>
      <c r="AP87" t="s">
        <v>1301</v>
      </c>
      <c r="AQ87" t="s">
        <v>80</v>
      </c>
      <c r="AR87" t="s">
        <v>65</v>
      </c>
      <c r="AS87" t="s">
        <v>1302</v>
      </c>
      <c r="AT87" t="s">
        <v>1303</v>
      </c>
      <c r="AU87" t="s">
        <v>83</v>
      </c>
      <c r="AV87" t="s">
        <v>1304</v>
      </c>
      <c r="AW87" t="str">
        <f>"3412420"</f>
        <v>3412420</v>
      </c>
    </row>
    <row r="88" spans="1:49">
      <c r="A88" t="str">
        <f t="shared" si="3"/>
        <v>03</v>
      </c>
      <c r="B88" t="s">
        <v>544</v>
      </c>
      <c r="C88" t="str">
        <f>"3940"</f>
        <v>3940</v>
      </c>
      <c r="D88" t="s">
        <v>1305</v>
      </c>
      <c r="F88" t="s">
        <v>65</v>
      </c>
      <c r="G88" t="s">
        <v>873</v>
      </c>
      <c r="H88" t="s">
        <v>1306</v>
      </c>
      <c r="I88" t="s">
        <v>89</v>
      </c>
      <c r="J88" s="2" t="s">
        <v>1307</v>
      </c>
      <c r="K88" t="s">
        <v>1308</v>
      </c>
      <c r="L88" t="s">
        <v>60</v>
      </c>
      <c r="M88" t="s">
        <v>1309</v>
      </c>
      <c r="N88" t="s">
        <v>62</v>
      </c>
      <c r="O88" t="str">
        <f>"07656"</f>
        <v>07656</v>
      </c>
      <c r="P88" t="s">
        <v>1308</v>
      </c>
      <c r="S88" t="s">
        <v>1309</v>
      </c>
      <c r="T88" t="s">
        <v>62</v>
      </c>
      <c r="U88" t="str">
        <f>"07656"</f>
        <v>07656</v>
      </c>
      <c r="W88" t="s">
        <v>1310</v>
      </c>
      <c r="X88" t="s">
        <v>77</v>
      </c>
      <c r="Y88" t="s">
        <v>873</v>
      </c>
      <c r="Z88" t="s">
        <v>1311</v>
      </c>
      <c r="AA88" t="s">
        <v>135</v>
      </c>
      <c r="AB88" t="s">
        <v>70</v>
      </c>
      <c r="AC88" t="s">
        <v>150</v>
      </c>
      <c r="AD88" t="s">
        <v>1312</v>
      </c>
      <c r="AE88" t="s">
        <v>98</v>
      </c>
      <c r="AF88" t="s">
        <v>54</v>
      </c>
      <c r="AG88" t="s">
        <v>150</v>
      </c>
      <c r="AH88" t="s">
        <v>1312</v>
      </c>
      <c r="AI88" t="s">
        <v>73</v>
      </c>
      <c r="AJ88" t="s">
        <v>65</v>
      </c>
      <c r="AK88" t="s">
        <v>293</v>
      </c>
      <c r="AL88" t="s">
        <v>1312</v>
      </c>
      <c r="AM88" t="s">
        <v>76</v>
      </c>
      <c r="AN88" t="s">
        <v>77</v>
      </c>
      <c r="AO88" t="s">
        <v>120</v>
      </c>
      <c r="AP88" t="s">
        <v>1313</v>
      </c>
      <c r="AQ88" t="s">
        <v>80</v>
      </c>
      <c r="AR88" t="s">
        <v>77</v>
      </c>
      <c r="AS88" t="s">
        <v>404</v>
      </c>
      <c r="AT88" t="s">
        <v>602</v>
      </c>
      <c r="AU88" t="s">
        <v>83</v>
      </c>
      <c r="AV88" t="s">
        <v>1314</v>
      </c>
      <c r="AW88" t="str">
        <f>"3412450"</f>
        <v>3412450</v>
      </c>
    </row>
    <row r="89" spans="1:49">
      <c r="A89" t="str">
        <f t="shared" si="3"/>
        <v>03</v>
      </c>
      <c r="B89" t="s">
        <v>544</v>
      </c>
      <c r="C89" t="str">
        <f>"3960"</f>
        <v>3960</v>
      </c>
      <c r="D89" t="s">
        <v>1315</v>
      </c>
      <c r="F89" t="s">
        <v>65</v>
      </c>
      <c r="G89" t="s">
        <v>1144</v>
      </c>
      <c r="H89" t="s">
        <v>1316</v>
      </c>
      <c r="I89" t="s">
        <v>57</v>
      </c>
      <c r="J89" s="2" t="s">
        <v>1317</v>
      </c>
      <c r="K89" t="s">
        <v>1318</v>
      </c>
      <c r="L89" t="s">
        <v>1319</v>
      </c>
      <c r="M89" t="s">
        <v>1139</v>
      </c>
      <c r="N89" t="s">
        <v>62</v>
      </c>
      <c r="O89" t="str">
        <f>"07645"</f>
        <v>07645</v>
      </c>
      <c r="P89" t="s">
        <v>1318</v>
      </c>
      <c r="Q89" t="s">
        <v>1320</v>
      </c>
      <c r="S89" t="s">
        <v>1139</v>
      </c>
      <c r="T89" t="s">
        <v>62</v>
      </c>
      <c r="U89" t="str">
        <f>"07645"</f>
        <v>07645</v>
      </c>
      <c r="W89" t="s">
        <v>1321</v>
      </c>
      <c r="X89" t="s">
        <v>77</v>
      </c>
      <c r="Y89" t="s">
        <v>1322</v>
      </c>
      <c r="Z89" t="s">
        <v>1323</v>
      </c>
      <c r="AA89" t="s">
        <v>135</v>
      </c>
      <c r="AB89" t="s">
        <v>70</v>
      </c>
      <c r="AC89" t="s">
        <v>1324</v>
      </c>
      <c r="AD89" t="s">
        <v>1325</v>
      </c>
      <c r="AE89" t="s">
        <v>181</v>
      </c>
      <c r="AF89" t="s">
        <v>65</v>
      </c>
      <c r="AG89" t="s">
        <v>570</v>
      </c>
      <c r="AH89" t="s">
        <v>1326</v>
      </c>
      <c r="AI89" t="s">
        <v>73</v>
      </c>
      <c r="AJ89" t="s">
        <v>65</v>
      </c>
      <c r="AK89" t="s">
        <v>101</v>
      </c>
      <c r="AL89" t="s">
        <v>1327</v>
      </c>
      <c r="AM89" t="s">
        <v>154</v>
      </c>
      <c r="AR89" t="s">
        <v>65</v>
      </c>
      <c r="AS89" t="s">
        <v>101</v>
      </c>
      <c r="AT89" t="s">
        <v>1327</v>
      </c>
      <c r="AU89" t="s">
        <v>83</v>
      </c>
      <c r="AV89" t="s">
        <v>1328</v>
      </c>
      <c r="AW89" t="str">
        <f>"3412510"</f>
        <v>3412510</v>
      </c>
    </row>
    <row r="90" spans="1:49">
      <c r="A90" t="str">
        <f t="shared" si="3"/>
        <v>03</v>
      </c>
      <c r="B90" t="s">
        <v>544</v>
      </c>
      <c r="C90" t="str">
        <f>"4300"</f>
        <v>4300</v>
      </c>
      <c r="D90" t="s">
        <v>1329</v>
      </c>
      <c r="F90" t="s">
        <v>77</v>
      </c>
      <c r="G90" t="s">
        <v>166</v>
      </c>
      <c r="H90" t="s">
        <v>1330</v>
      </c>
      <c r="I90" t="s">
        <v>408</v>
      </c>
      <c r="J90" s="2" t="s">
        <v>1331</v>
      </c>
      <c r="K90" t="s">
        <v>1332</v>
      </c>
      <c r="L90" t="s">
        <v>60</v>
      </c>
      <c r="M90" t="s">
        <v>1239</v>
      </c>
      <c r="N90" t="s">
        <v>62</v>
      </c>
      <c r="O90" t="str">
        <f>"07436"</f>
        <v>07436</v>
      </c>
      <c r="P90" t="s">
        <v>1332</v>
      </c>
      <c r="S90" t="s">
        <v>1239</v>
      </c>
      <c r="T90" t="s">
        <v>62</v>
      </c>
      <c r="U90" t="str">
        <f>"07436"</f>
        <v>07436</v>
      </c>
      <c r="W90" t="s">
        <v>1333</v>
      </c>
      <c r="X90" t="s">
        <v>77</v>
      </c>
      <c r="Y90" t="s">
        <v>319</v>
      </c>
      <c r="Z90" t="s">
        <v>1334</v>
      </c>
      <c r="AA90" t="s">
        <v>135</v>
      </c>
      <c r="AB90" t="s">
        <v>77</v>
      </c>
      <c r="AC90" t="s">
        <v>120</v>
      </c>
      <c r="AD90" t="s">
        <v>772</v>
      </c>
      <c r="AE90" t="s">
        <v>98</v>
      </c>
      <c r="AF90" t="s">
        <v>77</v>
      </c>
      <c r="AG90" t="s">
        <v>120</v>
      </c>
      <c r="AH90" t="s">
        <v>772</v>
      </c>
      <c r="AI90" t="s">
        <v>73</v>
      </c>
      <c r="AJ90" t="s">
        <v>77</v>
      </c>
      <c r="AK90" t="s">
        <v>87</v>
      </c>
      <c r="AL90" t="s">
        <v>1335</v>
      </c>
      <c r="AM90" t="s">
        <v>76</v>
      </c>
      <c r="AR90" t="s">
        <v>77</v>
      </c>
      <c r="AS90" t="s">
        <v>1012</v>
      </c>
      <c r="AT90" t="s">
        <v>1336</v>
      </c>
      <c r="AU90" t="s">
        <v>83</v>
      </c>
      <c r="AV90" t="s">
        <v>1337</v>
      </c>
      <c r="AW90" t="str">
        <f>"3413560"</f>
        <v>3413560</v>
      </c>
    </row>
    <row r="91" spans="1:49">
      <c r="A91" t="str">
        <f t="shared" si="3"/>
        <v>03</v>
      </c>
      <c r="B91" t="s">
        <v>544</v>
      </c>
      <c r="C91" t="str">
        <f>"4310"</f>
        <v>4310</v>
      </c>
      <c r="D91" t="s">
        <v>1338</v>
      </c>
      <c r="F91" t="s">
        <v>65</v>
      </c>
      <c r="G91" t="s">
        <v>281</v>
      </c>
      <c r="H91" t="s">
        <v>1339</v>
      </c>
      <c r="I91" t="s">
        <v>57</v>
      </c>
      <c r="J91" s="2" t="s">
        <v>1340</v>
      </c>
      <c r="K91" t="s">
        <v>1341</v>
      </c>
      <c r="L91" t="s">
        <v>60</v>
      </c>
      <c r="M91" t="s">
        <v>1342</v>
      </c>
      <c r="N91" t="s">
        <v>62</v>
      </c>
      <c r="O91" t="s">
        <v>1343</v>
      </c>
      <c r="P91" t="s">
        <v>1341</v>
      </c>
      <c r="S91" t="s">
        <v>1342</v>
      </c>
      <c r="T91" t="s">
        <v>62</v>
      </c>
      <c r="U91" t="str">
        <f>"07446"</f>
        <v>07446</v>
      </c>
      <c r="V91" t="str">
        <f>"1927"</f>
        <v>1927</v>
      </c>
      <c r="W91" t="s">
        <v>1344</v>
      </c>
      <c r="X91" t="s">
        <v>77</v>
      </c>
      <c r="Y91" t="s">
        <v>319</v>
      </c>
      <c r="Z91" t="s">
        <v>1345</v>
      </c>
      <c r="AA91" t="s">
        <v>135</v>
      </c>
      <c r="AB91" t="s">
        <v>54</v>
      </c>
      <c r="AC91" t="s">
        <v>1346</v>
      </c>
      <c r="AD91" t="s">
        <v>1347</v>
      </c>
      <c r="AE91" t="s">
        <v>98</v>
      </c>
      <c r="AF91" t="s">
        <v>70</v>
      </c>
      <c r="AG91" t="s">
        <v>306</v>
      </c>
      <c r="AH91" t="s">
        <v>1348</v>
      </c>
      <c r="AI91" t="s">
        <v>73</v>
      </c>
      <c r="AJ91" t="s">
        <v>65</v>
      </c>
      <c r="AK91" t="s">
        <v>422</v>
      </c>
      <c r="AL91" t="s">
        <v>1349</v>
      </c>
      <c r="AM91" t="s">
        <v>76</v>
      </c>
      <c r="AN91" t="s">
        <v>77</v>
      </c>
      <c r="AO91" t="s">
        <v>357</v>
      </c>
      <c r="AP91" t="s">
        <v>1180</v>
      </c>
      <c r="AQ91" t="s">
        <v>80</v>
      </c>
      <c r="AR91" t="s">
        <v>77</v>
      </c>
      <c r="AS91" t="s">
        <v>357</v>
      </c>
      <c r="AT91" t="s">
        <v>1350</v>
      </c>
      <c r="AU91" t="s">
        <v>83</v>
      </c>
      <c r="AV91" t="s">
        <v>1351</v>
      </c>
      <c r="AW91" t="str">
        <f>"3413590"</f>
        <v>3413590</v>
      </c>
    </row>
    <row r="92" spans="1:49">
      <c r="A92" t="str">
        <f t="shared" si="3"/>
        <v>03</v>
      </c>
      <c r="B92" t="s">
        <v>544</v>
      </c>
      <c r="C92" t="str">
        <f>"4380"</f>
        <v>4380</v>
      </c>
      <c r="D92" t="s">
        <v>1352</v>
      </c>
      <c r="F92" t="s">
        <v>65</v>
      </c>
      <c r="G92" t="s">
        <v>1353</v>
      </c>
      <c r="H92" t="s">
        <v>1354</v>
      </c>
      <c r="I92" t="s">
        <v>89</v>
      </c>
      <c r="J92" s="2" t="s">
        <v>1355</v>
      </c>
      <c r="K92" t="s">
        <v>1356</v>
      </c>
      <c r="L92" t="s">
        <v>60</v>
      </c>
      <c r="M92" t="s">
        <v>1357</v>
      </c>
      <c r="N92" t="s">
        <v>62</v>
      </c>
      <c r="O92" t="str">
        <f>"07660"</f>
        <v>07660</v>
      </c>
      <c r="P92" t="s">
        <v>1356</v>
      </c>
      <c r="S92" t="s">
        <v>1357</v>
      </c>
      <c r="T92" t="s">
        <v>62</v>
      </c>
      <c r="U92" t="str">
        <f>"07660"</f>
        <v>07660</v>
      </c>
      <c r="W92" t="s">
        <v>1358</v>
      </c>
      <c r="X92" t="s">
        <v>77</v>
      </c>
      <c r="Y92" t="s">
        <v>182</v>
      </c>
      <c r="Z92" t="s">
        <v>1359</v>
      </c>
      <c r="AA92" t="s">
        <v>773</v>
      </c>
      <c r="AB92" t="s">
        <v>54</v>
      </c>
      <c r="AC92" t="s">
        <v>291</v>
      </c>
      <c r="AD92" t="s">
        <v>1360</v>
      </c>
      <c r="AE92" t="s">
        <v>115</v>
      </c>
      <c r="AF92" t="s">
        <v>70</v>
      </c>
      <c r="AG92" t="s">
        <v>1124</v>
      </c>
      <c r="AH92" t="s">
        <v>1361</v>
      </c>
      <c r="AI92" t="s">
        <v>73</v>
      </c>
      <c r="AJ92" t="s">
        <v>77</v>
      </c>
      <c r="AK92" t="s">
        <v>101</v>
      </c>
      <c r="AL92" t="s">
        <v>1362</v>
      </c>
      <c r="AM92" t="s">
        <v>76</v>
      </c>
      <c r="AR92" t="s">
        <v>77</v>
      </c>
      <c r="AS92" t="s">
        <v>1363</v>
      </c>
      <c r="AT92" t="s">
        <v>1360</v>
      </c>
      <c r="AU92" t="s">
        <v>83</v>
      </c>
      <c r="AV92" t="s">
        <v>1364</v>
      </c>
      <c r="AW92" t="str">
        <f>"3413800"</f>
        <v>3413800</v>
      </c>
    </row>
    <row r="93" spans="1:49">
      <c r="A93" t="str">
        <f t="shared" si="3"/>
        <v>03</v>
      </c>
      <c r="B93" t="s">
        <v>544</v>
      </c>
      <c r="C93" t="str">
        <f>"4370"</f>
        <v>4370</v>
      </c>
      <c r="D93" t="s">
        <v>1365</v>
      </c>
      <c r="F93" t="s">
        <v>65</v>
      </c>
      <c r="G93" t="s">
        <v>1366</v>
      </c>
      <c r="H93" t="s">
        <v>1367</v>
      </c>
      <c r="I93" t="s">
        <v>89</v>
      </c>
      <c r="J93" s="2" t="s">
        <v>1368</v>
      </c>
      <c r="K93" t="s">
        <v>1369</v>
      </c>
      <c r="L93" t="s">
        <v>60</v>
      </c>
      <c r="M93" t="s">
        <v>1370</v>
      </c>
      <c r="N93" t="s">
        <v>62</v>
      </c>
      <c r="O93" t="str">
        <f>"07657"</f>
        <v>07657</v>
      </c>
      <c r="P93" t="s">
        <v>1369</v>
      </c>
      <c r="S93" t="s">
        <v>1370</v>
      </c>
      <c r="T93" t="s">
        <v>62</v>
      </c>
      <c r="U93" t="str">
        <f>"07657"</f>
        <v>07657</v>
      </c>
      <c r="W93" t="s">
        <v>1371</v>
      </c>
      <c r="Y93" t="s">
        <v>1372</v>
      </c>
      <c r="Z93" t="s">
        <v>1373</v>
      </c>
      <c r="AA93" t="s">
        <v>68</v>
      </c>
      <c r="AC93" t="s">
        <v>233</v>
      </c>
      <c r="AD93" t="s">
        <v>1374</v>
      </c>
      <c r="AE93" t="s">
        <v>69</v>
      </c>
      <c r="AG93" t="s">
        <v>1375</v>
      </c>
      <c r="AH93" t="s">
        <v>1376</v>
      </c>
      <c r="AI93" t="s">
        <v>73</v>
      </c>
      <c r="AK93" t="s">
        <v>651</v>
      </c>
      <c r="AL93" t="s">
        <v>1377</v>
      </c>
      <c r="AM93" t="s">
        <v>76</v>
      </c>
      <c r="AO93" t="s">
        <v>1378</v>
      </c>
      <c r="AP93" t="s">
        <v>1379</v>
      </c>
      <c r="AQ93" t="s">
        <v>80</v>
      </c>
      <c r="AS93" t="s">
        <v>233</v>
      </c>
      <c r="AT93" t="s">
        <v>1374</v>
      </c>
      <c r="AU93" t="s">
        <v>83</v>
      </c>
      <c r="AV93" t="s">
        <v>1380</v>
      </c>
      <c r="AW93" t="str">
        <f>"3413770"</f>
        <v>3413770</v>
      </c>
    </row>
    <row r="94" spans="1:49">
      <c r="A94" t="str">
        <f t="shared" si="3"/>
        <v>03</v>
      </c>
      <c r="B94" t="s">
        <v>544</v>
      </c>
      <c r="C94" t="str">
        <f>"4390"</f>
        <v>4390</v>
      </c>
      <c r="D94" t="s">
        <v>1381</v>
      </c>
      <c r="F94" t="s">
        <v>65</v>
      </c>
      <c r="G94" t="s">
        <v>319</v>
      </c>
      <c r="H94" t="s">
        <v>1382</v>
      </c>
      <c r="I94" t="s">
        <v>408</v>
      </c>
      <c r="J94" s="2" t="s">
        <v>1383</v>
      </c>
      <c r="K94" t="s">
        <v>1384</v>
      </c>
      <c r="L94" t="s">
        <v>60</v>
      </c>
      <c r="M94" t="s">
        <v>1385</v>
      </c>
      <c r="N94" t="s">
        <v>62</v>
      </c>
      <c r="O94" t="str">
        <f>"07450"</f>
        <v>07450</v>
      </c>
      <c r="P94" t="s">
        <v>1384</v>
      </c>
      <c r="S94" t="s">
        <v>1385</v>
      </c>
      <c r="T94" t="s">
        <v>62</v>
      </c>
      <c r="U94" t="str">
        <f>"07450"</f>
        <v>07450</v>
      </c>
      <c r="W94" t="s">
        <v>1386</v>
      </c>
      <c r="X94" t="s">
        <v>77</v>
      </c>
      <c r="Y94" t="s">
        <v>436</v>
      </c>
      <c r="Z94" t="s">
        <v>1087</v>
      </c>
      <c r="AA94" t="s">
        <v>112</v>
      </c>
      <c r="AB94" t="s">
        <v>65</v>
      </c>
      <c r="AC94" t="s">
        <v>116</v>
      </c>
      <c r="AD94" t="s">
        <v>1387</v>
      </c>
      <c r="AE94" t="s">
        <v>98</v>
      </c>
      <c r="AF94" t="s">
        <v>70</v>
      </c>
      <c r="AG94" t="s">
        <v>1388</v>
      </c>
      <c r="AH94" t="s">
        <v>1389</v>
      </c>
      <c r="AI94" t="s">
        <v>73</v>
      </c>
      <c r="AJ94" t="s">
        <v>70</v>
      </c>
      <c r="AK94" t="s">
        <v>1390</v>
      </c>
      <c r="AL94" t="s">
        <v>1391</v>
      </c>
      <c r="AM94" t="s">
        <v>76</v>
      </c>
      <c r="AN94" t="s">
        <v>77</v>
      </c>
      <c r="AO94" t="s">
        <v>1392</v>
      </c>
      <c r="AP94" t="s">
        <v>1393</v>
      </c>
      <c r="AQ94" t="s">
        <v>80</v>
      </c>
      <c r="AR94" t="s">
        <v>77</v>
      </c>
      <c r="AS94" t="s">
        <v>87</v>
      </c>
      <c r="AT94" t="s">
        <v>1394</v>
      </c>
      <c r="AU94" t="s">
        <v>83</v>
      </c>
      <c r="AV94" t="s">
        <v>1395</v>
      </c>
      <c r="AW94" t="str">
        <f>"3413830"</f>
        <v>3413830</v>
      </c>
    </row>
    <row r="95" spans="1:49">
      <c r="A95" t="str">
        <f t="shared" si="3"/>
        <v>03</v>
      </c>
      <c r="B95" t="s">
        <v>544</v>
      </c>
      <c r="C95" t="str">
        <f>"4405"</f>
        <v>4405</v>
      </c>
      <c r="D95" t="s">
        <v>1396</v>
      </c>
      <c r="F95" t="s">
        <v>77</v>
      </c>
      <c r="G95" t="s">
        <v>293</v>
      </c>
      <c r="H95" t="s">
        <v>1397</v>
      </c>
      <c r="I95" t="s">
        <v>89</v>
      </c>
      <c r="J95" s="2" t="s">
        <v>1398</v>
      </c>
      <c r="K95" t="s">
        <v>1399</v>
      </c>
      <c r="L95" t="s">
        <v>60</v>
      </c>
      <c r="M95" t="s">
        <v>1400</v>
      </c>
      <c r="N95" t="s">
        <v>62</v>
      </c>
      <c r="O95" t="s">
        <v>1401</v>
      </c>
      <c r="P95" t="s">
        <v>1399</v>
      </c>
      <c r="S95" t="s">
        <v>1400</v>
      </c>
      <c r="T95" t="s">
        <v>62</v>
      </c>
      <c r="U95" t="str">
        <f>"07661"</f>
        <v>07661</v>
      </c>
      <c r="V95" t="str">
        <f>"1504"</f>
        <v>1504</v>
      </c>
      <c r="W95" t="s">
        <v>1402</v>
      </c>
      <c r="X95" t="s">
        <v>77</v>
      </c>
      <c r="Y95" t="s">
        <v>319</v>
      </c>
      <c r="Z95" t="s">
        <v>1403</v>
      </c>
      <c r="AA95" t="s">
        <v>135</v>
      </c>
      <c r="AB95" t="s">
        <v>77</v>
      </c>
      <c r="AC95" t="s">
        <v>182</v>
      </c>
      <c r="AD95" t="s">
        <v>1404</v>
      </c>
      <c r="AE95" t="s">
        <v>98</v>
      </c>
      <c r="AF95" t="s">
        <v>77</v>
      </c>
      <c r="AG95" t="s">
        <v>182</v>
      </c>
      <c r="AH95" t="s">
        <v>1404</v>
      </c>
      <c r="AI95" t="s">
        <v>73</v>
      </c>
      <c r="AJ95" t="s">
        <v>54</v>
      </c>
      <c r="AK95" t="s">
        <v>155</v>
      </c>
      <c r="AL95" t="s">
        <v>1405</v>
      </c>
      <c r="AM95" t="s">
        <v>76</v>
      </c>
      <c r="AN95" t="s">
        <v>54</v>
      </c>
      <c r="AO95" t="s">
        <v>1406</v>
      </c>
      <c r="AP95" t="s">
        <v>510</v>
      </c>
      <c r="AQ95" t="s">
        <v>80</v>
      </c>
      <c r="AR95" t="s">
        <v>77</v>
      </c>
      <c r="AS95" t="s">
        <v>293</v>
      </c>
      <c r="AT95" t="s">
        <v>1397</v>
      </c>
      <c r="AU95" t="s">
        <v>83</v>
      </c>
      <c r="AV95" t="s">
        <v>1407</v>
      </c>
      <c r="AW95" t="str">
        <f>"3412260"</f>
        <v>3412260</v>
      </c>
    </row>
    <row r="96" spans="1:49">
      <c r="A96" t="str">
        <f t="shared" si="3"/>
        <v>03</v>
      </c>
      <c r="B96" t="s">
        <v>544</v>
      </c>
      <c r="C96" t="str">
        <f>"4410"</f>
        <v>4410</v>
      </c>
      <c r="D96" t="s">
        <v>1408</v>
      </c>
      <c r="F96" t="s">
        <v>65</v>
      </c>
      <c r="G96" t="s">
        <v>1409</v>
      </c>
      <c r="H96" t="s">
        <v>1410</v>
      </c>
      <c r="I96" t="s">
        <v>89</v>
      </c>
      <c r="J96" s="2" t="s">
        <v>1411</v>
      </c>
      <c r="K96" t="s">
        <v>1412</v>
      </c>
      <c r="L96" t="s">
        <v>60</v>
      </c>
      <c r="M96" t="s">
        <v>1400</v>
      </c>
      <c r="N96" t="s">
        <v>62</v>
      </c>
      <c r="O96" t="str">
        <f>"07661"</f>
        <v>07661</v>
      </c>
      <c r="P96" t="s">
        <v>1412</v>
      </c>
      <c r="S96" t="s">
        <v>1400</v>
      </c>
      <c r="T96" t="s">
        <v>62</v>
      </c>
      <c r="U96" t="str">
        <f>"07661"</f>
        <v>07661</v>
      </c>
      <c r="W96" t="s">
        <v>1413</v>
      </c>
      <c r="X96" t="s">
        <v>70</v>
      </c>
      <c r="Y96" t="s">
        <v>1414</v>
      </c>
      <c r="Z96" t="s">
        <v>1415</v>
      </c>
      <c r="AA96" t="s">
        <v>68</v>
      </c>
      <c r="AB96" t="s">
        <v>70</v>
      </c>
      <c r="AC96" t="s">
        <v>1416</v>
      </c>
      <c r="AD96" t="s">
        <v>1417</v>
      </c>
      <c r="AE96" t="s">
        <v>98</v>
      </c>
      <c r="AF96" t="s">
        <v>77</v>
      </c>
      <c r="AG96" t="s">
        <v>1418</v>
      </c>
      <c r="AH96" t="s">
        <v>182</v>
      </c>
      <c r="AI96" t="s">
        <v>73</v>
      </c>
      <c r="AJ96" t="s">
        <v>54</v>
      </c>
      <c r="AK96" t="s">
        <v>809</v>
      </c>
      <c r="AL96" t="s">
        <v>1419</v>
      </c>
      <c r="AM96" t="s">
        <v>76</v>
      </c>
      <c r="AN96" t="s">
        <v>54</v>
      </c>
      <c r="AO96" t="s">
        <v>809</v>
      </c>
      <c r="AP96" t="s">
        <v>1419</v>
      </c>
      <c r="AQ96" t="s">
        <v>80</v>
      </c>
      <c r="AR96" t="s">
        <v>77</v>
      </c>
      <c r="AS96" t="s">
        <v>120</v>
      </c>
      <c r="AT96" t="s">
        <v>1420</v>
      </c>
      <c r="AU96" t="s">
        <v>83</v>
      </c>
      <c r="AV96" t="s">
        <v>1421</v>
      </c>
      <c r="AW96" t="str">
        <f>"3413890"</f>
        <v>3413890</v>
      </c>
    </row>
    <row r="97" spans="1:49">
      <c r="A97" t="str">
        <f t="shared" si="3"/>
        <v>03</v>
      </c>
      <c r="B97" t="s">
        <v>544</v>
      </c>
      <c r="C97" t="str">
        <f>"4430"</f>
        <v>4430</v>
      </c>
      <c r="D97" t="s">
        <v>1422</v>
      </c>
      <c r="F97" t="s">
        <v>65</v>
      </c>
      <c r="G97" t="s">
        <v>373</v>
      </c>
      <c r="H97" t="s">
        <v>1423</v>
      </c>
      <c r="I97" t="s">
        <v>89</v>
      </c>
      <c r="J97" s="2" t="s">
        <v>1424</v>
      </c>
      <c r="K97" t="s">
        <v>1425</v>
      </c>
      <c r="L97" t="s">
        <v>60</v>
      </c>
      <c r="M97" t="s">
        <v>1426</v>
      </c>
      <c r="N97" t="s">
        <v>62</v>
      </c>
      <c r="O97" t="str">
        <f>"07675"</f>
        <v>07675</v>
      </c>
      <c r="P97" t="s">
        <v>1425</v>
      </c>
      <c r="S97" t="s">
        <v>1426</v>
      </c>
      <c r="T97" t="s">
        <v>62</v>
      </c>
      <c r="U97" t="str">
        <f>"07675"</f>
        <v>07675</v>
      </c>
      <c r="W97" t="s">
        <v>1427</v>
      </c>
      <c r="X97" t="s">
        <v>70</v>
      </c>
      <c r="Y97" t="s">
        <v>649</v>
      </c>
      <c r="Z97" t="s">
        <v>1428</v>
      </c>
      <c r="AA97" t="s">
        <v>112</v>
      </c>
      <c r="AB97" t="s">
        <v>54</v>
      </c>
      <c r="AC97" t="s">
        <v>275</v>
      </c>
      <c r="AD97" t="s">
        <v>1429</v>
      </c>
      <c r="AE97" t="s">
        <v>913</v>
      </c>
      <c r="AF97" t="s">
        <v>77</v>
      </c>
      <c r="AG97" t="s">
        <v>1430</v>
      </c>
      <c r="AH97" t="s">
        <v>1431</v>
      </c>
      <c r="AI97" t="s">
        <v>73</v>
      </c>
      <c r="AJ97" t="s">
        <v>54</v>
      </c>
      <c r="AK97" t="s">
        <v>251</v>
      </c>
      <c r="AL97" t="s">
        <v>1432</v>
      </c>
      <c r="AM97" t="s">
        <v>76</v>
      </c>
      <c r="AN97" t="s">
        <v>77</v>
      </c>
      <c r="AO97" t="s">
        <v>319</v>
      </c>
      <c r="AP97" t="s">
        <v>1433</v>
      </c>
      <c r="AQ97" t="s">
        <v>80</v>
      </c>
      <c r="AR97" t="s">
        <v>77</v>
      </c>
      <c r="AS97" t="s">
        <v>182</v>
      </c>
      <c r="AT97" t="s">
        <v>1434</v>
      </c>
      <c r="AU97" t="s">
        <v>83</v>
      </c>
      <c r="AV97" t="s">
        <v>1435</v>
      </c>
      <c r="AW97" t="str">
        <f>"3413950"</f>
        <v>3413950</v>
      </c>
    </row>
    <row r="98" spans="1:49">
      <c r="A98" t="str">
        <f t="shared" si="3"/>
        <v>03</v>
      </c>
      <c r="B98" t="s">
        <v>544</v>
      </c>
      <c r="C98" t="str">
        <f>"4470"</f>
        <v>4470</v>
      </c>
      <c r="D98" t="s">
        <v>1436</v>
      </c>
      <c r="F98" t="s">
        <v>65</v>
      </c>
      <c r="G98" t="s">
        <v>1437</v>
      </c>
      <c r="H98" t="s">
        <v>1438</v>
      </c>
      <c r="I98" t="s">
        <v>89</v>
      </c>
      <c r="J98" s="2" t="s">
        <v>1439</v>
      </c>
      <c r="K98" t="s">
        <v>1440</v>
      </c>
      <c r="L98" t="s">
        <v>60</v>
      </c>
      <c r="M98" t="s">
        <v>1441</v>
      </c>
      <c r="N98" t="s">
        <v>62</v>
      </c>
      <c r="O98" t="str">
        <f>"07662"</f>
        <v>07662</v>
      </c>
      <c r="P98" t="s">
        <v>1440</v>
      </c>
      <c r="S98" t="s">
        <v>1441</v>
      </c>
      <c r="T98" t="s">
        <v>62</v>
      </c>
      <c r="U98" t="str">
        <f>"07662"</f>
        <v>07662</v>
      </c>
      <c r="W98" t="s">
        <v>1442</v>
      </c>
      <c r="X98" t="s">
        <v>54</v>
      </c>
      <c r="Y98" t="s">
        <v>849</v>
      </c>
      <c r="Z98" t="s">
        <v>1443</v>
      </c>
      <c r="AA98" t="s">
        <v>135</v>
      </c>
      <c r="AB98" t="s">
        <v>54</v>
      </c>
      <c r="AC98" t="s">
        <v>1444</v>
      </c>
      <c r="AD98" t="s">
        <v>1445</v>
      </c>
      <c r="AE98" t="s">
        <v>98</v>
      </c>
      <c r="AF98" t="s">
        <v>70</v>
      </c>
      <c r="AG98" t="s">
        <v>1446</v>
      </c>
      <c r="AH98" t="s">
        <v>1447</v>
      </c>
      <c r="AI98" t="s">
        <v>73</v>
      </c>
      <c r="AJ98" t="s">
        <v>54</v>
      </c>
      <c r="AK98" t="s">
        <v>1448</v>
      </c>
      <c r="AL98" t="s">
        <v>1449</v>
      </c>
      <c r="AM98" t="s">
        <v>76</v>
      </c>
      <c r="AN98" t="s">
        <v>65</v>
      </c>
      <c r="AO98" t="s">
        <v>534</v>
      </c>
      <c r="AP98" t="s">
        <v>1450</v>
      </c>
      <c r="AQ98" t="s">
        <v>80</v>
      </c>
      <c r="AR98" t="s">
        <v>77</v>
      </c>
      <c r="AS98" t="s">
        <v>120</v>
      </c>
      <c r="AT98" t="s">
        <v>1451</v>
      </c>
      <c r="AU98" t="s">
        <v>83</v>
      </c>
      <c r="AV98" t="s">
        <v>1452</v>
      </c>
      <c r="AW98" t="str">
        <f>"3414070"</f>
        <v>3414070</v>
      </c>
    </row>
    <row r="99" spans="1:49">
      <c r="A99" t="str">
        <f t="shared" si="3"/>
        <v>03</v>
      </c>
      <c r="B99" t="s">
        <v>544</v>
      </c>
      <c r="C99" t="str">
        <f>"4500"</f>
        <v>4500</v>
      </c>
      <c r="D99" t="s">
        <v>1453</v>
      </c>
      <c r="F99" t="s">
        <v>77</v>
      </c>
      <c r="G99" t="s">
        <v>389</v>
      </c>
      <c r="H99" t="s">
        <v>389</v>
      </c>
      <c r="I99" t="s">
        <v>57</v>
      </c>
      <c r="J99" s="2" t="s">
        <v>1454</v>
      </c>
      <c r="K99" t="s">
        <v>1455</v>
      </c>
      <c r="L99" t="s">
        <v>60</v>
      </c>
      <c r="M99" t="s">
        <v>1456</v>
      </c>
      <c r="N99" t="s">
        <v>62</v>
      </c>
      <c r="O99" t="str">
        <f>"07647"</f>
        <v>07647</v>
      </c>
      <c r="P99" t="s">
        <v>1457</v>
      </c>
      <c r="S99" t="s">
        <v>1107</v>
      </c>
      <c r="T99" t="s">
        <v>62</v>
      </c>
      <c r="U99" t="str">
        <f>"07607"</f>
        <v>07607</v>
      </c>
      <c r="W99" t="s">
        <v>1458</v>
      </c>
      <c r="X99" t="s">
        <v>65</v>
      </c>
      <c r="Y99" t="s">
        <v>243</v>
      </c>
      <c r="Z99" t="s">
        <v>1459</v>
      </c>
      <c r="AA99" t="s">
        <v>135</v>
      </c>
      <c r="AB99" t="s">
        <v>65</v>
      </c>
      <c r="AC99" t="s">
        <v>243</v>
      </c>
      <c r="AD99" t="s">
        <v>1459</v>
      </c>
      <c r="AE99" t="s">
        <v>98</v>
      </c>
      <c r="AG99" t="s">
        <v>389</v>
      </c>
      <c r="AH99" t="s">
        <v>389</v>
      </c>
      <c r="AI99" t="s">
        <v>73</v>
      </c>
      <c r="AJ99" t="s">
        <v>77</v>
      </c>
      <c r="AK99" t="s">
        <v>389</v>
      </c>
      <c r="AL99" t="s">
        <v>389</v>
      </c>
      <c r="AM99" t="s">
        <v>76</v>
      </c>
      <c r="AN99" t="s">
        <v>65</v>
      </c>
      <c r="AO99" t="s">
        <v>243</v>
      </c>
      <c r="AP99" t="s">
        <v>1459</v>
      </c>
      <c r="AQ99" t="s">
        <v>80</v>
      </c>
      <c r="AR99" t="s">
        <v>77</v>
      </c>
      <c r="AS99" t="s">
        <v>389</v>
      </c>
      <c r="AT99" t="s">
        <v>389</v>
      </c>
      <c r="AU99" t="s">
        <v>83</v>
      </c>
      <c r="AV99" t="s">
        <v>389</v>
      </c>
    </row>
    <row r="100" spans="1:49">
      <c r="A100" t="str">
        <f t="shared" si="3"/>
        <v>03</v>
      </c>
      <c r="B100" t="s">
        <v>544</v>
      </c>
      <c r="C100" t="str">
        <f>"4600"</f>
        <v>4600</v>
      </c>
      <c r="D100" t="s">
        <v>1460</v>
      </c>
      <c r="F100" t="s">
        <v>77</v>
      </c>
      <c r="G100" t="s">
        <v>328</v>
      </c>
      <c r="H100" t="s">
        <v>1461</v>
      </c>
      <c r="I100" t="s">
        <v>89</v>
      </c>
      <c r="J100" s="2" t="s">
        <v>1462</v>
      </c>
      <c r="K100" t="s">
        <v>1463</v>
      </c>
      <c r="L100" t="s">
        <v>60</v>
      </c>
      <c r="M100" t="s">
        <v>1464</v>
      </c>
      <c r="N100" t="s">
        <v>62</v>
      </c>
      <c r="O100" t="s">
        <v>1465</v>
      </c>
      <c r="P100" t="s">
        <v>1463</v>
      </c>
      <c r="S100" t="s">
        <v>1464</v>
      </c>
      <c r="T100" t="s">
        <v>62</v>
      </c>
      <c r="U100" t="str">
        <f>"07070"</f>
        <v>07070</v>
      </c>
      <c r="V100" t="str">
        <f>"2310"</f>
        <v>2310</v>
      </c>
      <c r="W100" t="s">
        <v>1466</v>
      </c>
      <c r="X100" t="s">
        <v>77</v>
      </c>
      <c r="Y100" t="s">
        <v>358</v>
      </c>
      <c r="Z100" t="s">
        <v>649</v>
      </c>
      <c r="AA100" t="s">
        <v>135</v>
      </c>
      <c r="AB100" t="s">
        <v>70</v>
      </c>
      <c r="AC100" t="s">
        <v>116</v>
      </c>
      <c r="AD100" t="s">
        <v>1467</v>
      </c>
      <c r="AE100" t="s">
        <v>181</v>
      </c>
      <c r="AF100" t="s">
        <v>70</v>
      </c>
      <c r="AG100" t="s">
        <v>116</v>
      </c>
      <c r="AH100" t="s">
        <v>1467</v>
      </c>
      <c r="AI100" t="s">
        <v>73</v>
      </c>
      <c r="AJ100" t="s">
        <v>54</v>
      </c>
      <c r="AK100" t="s">
        <v>323</v>
      </c>
      <c r="AL100" t="s">
        <v>1468</v>
      </c>
      <c r="AM100" t="s">
        <v>76</v>
      </c>
      <c r="AN100" t="s">
        <v>70</v>
      </c>
      <c r="AO100" t="s">
        <v>353</v>
      </c>
      <c r="AP100" t="s">
        <v>1469</v>
      </c>
      <c r="AQ100" t="s">
        <v>80</v>
      </c>
      <c r="AR100" t="s">
        <v>77</v>
      </c>
      <c r="AS100" t="s">
        <v>328</v>
      </c>
      <c r="AT100" t="s">
        <v>1461</v>
      </c>
      <c r="AU100" t="s">
        <v>83</v>
      </c>
      <c r="AV100" t="s">
        <v>1470</v>
      </c>
      <c r="AW100" t="str">
        <f>"3414460"</f>
        <v>3414460</v>
      </c>
    </row>
    <row r="101" spans="1:49">
      <c r="A101" t="str">
        <f t="shared" si="3"/>
        <v>03</v>
      </c>
      <c r="B101" t="s">
        <v>544</v>
      </c>
      <c r="C101" t="str">
        <f>"4610"</f>
        <v>4610</v>
      </c>
      <c r="D101" t="s">
        <v>1471</v>
      </c>
      <c r="F101" t="s">
        <v>54</v>
      </c>
      <c r="G101" t="s">
        <v>1250</v>
      </c>
      <c r="H101" t="s">
        <v>1472</v>
      </c>
      <c r="I101" t="s">
        <v>89</v>
      </c>
      <c r="J101" s="2" t="s">
        <v>1473</v>
      </c>
      <c r="K101" t="s">
        <v>1474</v>
      </c>
      <c r="L101" t="s">
        <v>1475</v>
      </c>
      <c r="M101" t="s">
        <v>1476</v>
      </c>
      <c r="N101" t="s">
        <v>62</v>
      </c>
      <c r="O101" t="str">
        <f>"07663"</f>
        <v>07663</v>
      </c>
      <c r="P101" t="s">
        <v>1474</v>
      </c>
      <c r="Q101" t="s">
        <v>1477</v>
      </c>
      <c r="S101" t="s">
        <v>1476</v>
      </c>
      <c r="T101" t="s">
        <v>62</v>
      </c>
      <c r="U101" t="str">
        <f>"07663"</f>
        <v>07663</v>
      </c>
      <c r="W101" t="s">
        <v>1478</v>
      </c>
      <c r="X101" t="s">
        <v>77</v>
      </c>
      <c r="Y101" t="s">
        <v>1479</v>
      </c>
      <c r="Z101" t="s">
        <v>1480</v>
      </c>
      <c r="AA101" t="s">
        <v>135</v>
      </c>
      <c r="AB101" t="s">
        <v>65</v>
      </c>
      <c r="AC101" t="s">
        <v>71</v>
      </c>
      <c r="AD101" t="s">
        <v>1481</v>
      </c>
      <c r="AE101" t="s">
        <v>98</v>
      </c>
      <c r="AF101" t="s">
        <v>54</v>
      </c>
      <c r="AG101" t="s">
        <v>1482</v>
      </c>
      <c r="AH101" t="s">
        <v>1483</v>
      </c>
      <c r="AI101" t="s">
        <v>73</v>
      </c>
      <c r="AJ101" t="s">
        <v>54</v>
      </c>
      <c r="AK101" t="s">
        <v>1484</v>
      </c>
      <c r="AL101" t="s">
        <v>1485</v>
      </c>
      <c r="AM101" t="s">
        <v>76</v>
      </c>
      <c r="AN101" t="s">
        <v>54</v>
      </c>
      <c r="AO101" t="s">
        <v>1486</v>
      </c>
      <c r="AP101" t="s">
        <v>1487</v>
      </c>
      <c r="AQ101" t="s">
        <v>80</v>
      </c>
      <c r="AR101" t="s">
        <v>54</v>
      </c>
      <c r="AS101" t="s">
        <v>323</v>
      </c>
      <c r="AT101" t="s">
        <v>1488</v>
      </c>
      <c r="AU101" t="s">
        <v>83</v>
      </c>
      <c r="AV101" t="s">
        <v>1489</v>
      </c>
      <c r="AW101" t="str">
        <f>"3414490"</f>
        <v>3414490</v>
      </c>
    </row>
    <row r="102" spans="1:49">
      <c r="A102" t="str">
        <f t="shared" si="3"/>
        <v>03</v>
      </c>
      <c r="B102" t="s">
        <v>544</v>
      </c>
      <c r="C102" t="str">
        <f>"4620"</f>
        <v>4620</v>
      </c>
      <c r="D102" t="s">
        <v>1490</v>
      </c>
      <c r="F102" t="s">
        <v>65</v>
      </c>
      <c r="G102" t="s">
        <v>245</v>
      </c>
      <c r="H102" t="s">
        <v>1491</v>
      </c>
      <c r="I102" t="s">
        <v>89</v>
      </c>
      <c r="J102" s="2" t="s">
        <v>1492</v>
      </c>
      <c r="K102" t="s">
        <v>1493</v>
      </c>
      <c r="L102" t="s">
        <v>60</v>
      </c>
      <c r="M102" t="s">
        <v>1494</v>
      </c>
      <c r="N102" t="s">
        <v>62</v>
      </c>
      <c r="O102" t="str">
        <f>"07458"</f>
        <v>07458</v>
      </c>
      <c r="P102" t="s">
        <v>1493</v>
      </c>
      <c r="S102" t="s">
        <v>1494</v>
      </c>
      <c r="T102" t="s">
        <v>62</v>
      </c>
      <c r="U102" t="str">
        <f>"07458"</f>
        <v>07458</v>
      </c>
      <c r="W102" t="s">
        <v>1495</v>
      </c>
      <c r="X102" t="s">
        <v>54</v>
      </c>
      <c r="Y102" t="s">
        <v>1496</v>
      </c>
      <c r="Z102" t="s">
        <v>1497</v>
      </c>
      <c r="AA102" t="s">
        <v>135</v>
      </c>
      <c r="AB102" t="s">
        <v>70</v>
      </c>
      <c r="AC102" t="s">
        <v>1498</v>
      </c>
      <c r="AD102" t="s">
        <v>1499</v>
      </c>
      <c r="AE102" t="s">
        <v>415</v>
      </c>
      <c r="AF102" t="s">
        <v>70</v>
      </c>
      <c r="AG102" t="s">
        <v>1498</v>
      </c>
      <c r="AH102" t="s">
        <v>1499</v>
      </c>
      <c r="AI102" t="s">
        <v>73</v>
      </c>
      <c r="AJ102" t="s">
        <v>54</v>
      </c>
      <c r="AK102" t="s">
        <v>730</v>
      </c>
      <c r="AL102" t="s">
        <v>344</v>
      </c>
      <c r="AM102" t="s">
        <v>76</v>
      </c>
      <c r="AN102" t="s">
        <v>54</v>
      </c>
      <c r="AO102" t="s">
        <v>730</v>
      </c>
      <c r="AP102" t="s">
        <v>344</v>
      </c>
      <c r="AQ102" t="s">
        <v>80</v>
      </c>
      <c r="AR102" t="s">
        <v>54</v>
      </c>
      <c r="AS102" t="s">
        <v>730</v>
      </c>
      <c r="AT102" t="s">
        <v>344</v>
      </c>
      <c r="AU102" t="s">
        <v>83</v>
      </c>
      <c r="AV102" t="s">
        <v>1500</v>
      </c>
      <c r="AW102" t="str">
        <f>"3414520"</f>
        <v>3414520</v>
      </c>
    </row>
    <row r="103" spans="1:49">
      <c r="A103" t="str">
        <f t="shared" si="3"/>
        <v>03</v>
      </c>
      <c r="B103" t="s">
        <v>544</v>
      </c>
      <c r="C103" t="str">
        <f>"4845"</f>
        <v>4845</v>
      </c>
      <c r="D103" t="s">
        <v>1501</v>
      </c>
      <c r="F103" t="s">
        <v>65</v>
      </c>
      <c r="G103" t="s">
        <v>120</v>
      </c>
      <c r="H103" t="s">
        <v>1165</v>
      </c>
      <c r="I103" t="s">
        <v>57</v>
      </c>
      <c r="J103" s="2" t="s">
        <v>1502</v>
      </c>
      <c r="K103" t="s">
        <v>1503</v>
      </c>
      <c r="L103" t="s">
        <v>1504</v>
      </c>
      <c r="M103" t="s">
        <v>982</v>
      </c>
      <c r="N103" t="s">
        <v>62</v>
      </c>
      <c r="O103" t="str">
        <f>"07604"</f>
        <v>07604</v>
      </c>
      <c r="P103" t="s">
        <v>1503</v>
      </c>
      <c r="Q103" t="s">
        <v>1505</v>
      </c>
      <c r="S103" t="s">
        <v>982</v>
      </c>
      <c r="T103" t="s">
        <v>62</v>
      </c>
      <c r="U103" t="str">
        <f>"07604"</f>
        <v>07604</v>
      </c>
      <c r="W103" t="s">
        <v>1506</v>
      </c>
      <c r="X103" t="s">
        <v>54</v>
      </c>
      <c r="Y103" t="s">
        <v>541</v>
      </c>
      <c r="Z103" t="s">
        <v>1507</v>
      </c>
      <c r="AA103" t="s">
        <v>135</v>
      </c>
      <c r="AB103" t="s">
        <v>65</v>
      </c>
      <c r="AC103" t="s">
        <v>120</v>
      </c>
      <c r="AD103" t="s">
        <v>1165</v>
      </c>
      <c r="AE103" t="s">
        <v>181</v>
      </c>
      <c r="AF103" t="s">
        <v>70</v>
      </c>
      <c r="AG103" t="s">
        <v>1508</v>
      </c>
      <c r="AH103" t="s">
        <v>1509</v>
      </c>
      <c r="AI103" t="s">
        <v>73</v>
      </c>
      <c r="AJ103" t="s">
        <v>70</v>
      </c>
      <c r="AK103" t="s">
        <v>1510</v>
      </c>
      <c r="AL103" t="s">
        <v>1511</v>
      </c>
      <c r="AM103" t="s">
        <v>76</v>
      </c>
      <c r="AN103" t="s">
        <v>77</v>
      </c>
      <c r="AO103" t="s">
        <v>1512</v>
      </c>
      <c r="AP103" t="s">
        <v>1513</v>
      </c>
      <c r="AQ103" t="s">
        <v>80</v>
      </c>
      <c r="AR103" t="s">
        <v>77</v>
      </c>
      <c r="AS103" t="s">
        <v>892</v>
      </c>
      <c r="AT103" t="s">
        <v>1514</v>
      </c>
      <c r="AU103" t="s">
        <v>83</v>
      </c>
      <c r="AV103" t="s">
        <v>1515</v>
      </c>
      <c r="AW103" t="str">
        <f>"3400007"</f>
        <v>3400007</v>
      </c>
    </row>
    <row r="104" spans="1:49">
      <c r="A104" t="str">
        <f t="shared" si="3"/>
        <v>03</v>
      </c>
      <c r="B104" t="s">
        <v>544</v>
      </c>
      <c r="C104" t="str">
        <f>"4870"</f>
        <v>4870</v>
      </c>
      <c r="D104" t="s">
        <v>1516</v>
      </c>
      <c r="F104" t="s">
        <v>77</v>
      </c>
      <c r="G104" t="s">
        <v>243</v>
      </c>
      <c r="H104" t="s">
        <v>1517</v>
      </c>
      <c r="I104" t="s">
        <v>1518</v>
      </c>
      <c r="J104" s="2" t="s">
        <v>1519</v>
      </c>
      <c r="K104" t="s">
        <v>1520</v>
      </c>
      <c r="L104" t="s">
        <v>1521</v>
      </c>
      <c r="M104" t="s">
        <v>1522</v>
      </c>
      <c r="N104" t="s">
        <v>62</v>
      </c>
      <c r="O104" t="s">
        <v>1523</v>
      </c>
      <c r="P104" t="s">
        <v>1520</v>
      </c>
      <c r="Q104" t="s">
        <v>1524</v>
      </c>
      <c r="S104" t="s">
        <v>1522</v>
      </c>
      <c r="T104" t="s">
        <v>62</v>
      </c>
      <c r="U104" t="str">
        <f>"07606"</f>
        <v>07606</v>
      </c>
      <c r="V104" t="str">
        <f>"1537"</f>
        <v>1537</v>
      </c>
      <c r="W104" t="s">
        <v>1525</v>
      </c>
      <c r="X104" t="s">
        <v>54</v>
      </c>
      <c r="Y104" t="s">
        <v>984</v>
      </c>
      <c r="Z104" t="s">
        <v>985</v>
      </c>
      <c r="AA104" t="s">
        <v>135</v>
      </c>
      <c r="AB104" t="s">
        <v>54</v>
      </c>
      <c r="AC104" t="s">
        <v>1526</v>
      </c>
      <c r="AD104" t="s">
        <v>1527</v>
      </c>
      <c r="AE104" t="s">
        <v>433</v>
      </c>
      <c r="AF104" t="s">
        <v>54</v>
      </c>
      <c r="AG104" t="s">
        <v>1526</v>
      </c>
      <c r="AH104" t="s">
        <v>1527</v>
      </c>
      <c r="AI104" t="s">
        <v>73</v>
      </c>
      <c r="AJ104" t="s">
        <v>54</v>
      </c>
      <c r="AK104" t="s">
        <v>1528</v>
      </c>
      <c r="AL104" t="s">
        <v>1529</v>
      </c>
      <c r="AM104" t="s">
        <v>76</v>
      </c>
      <c r="AN104" t="s">
        <v>77</v>
      </c>
      <c r="AO104" t="s">
        <v>338</v>
      </c>
      <c r="AP104" t="s">
        <v>1530</v>
      </c>
      <c r="AQ104" t="s">
        <v>80</v>
      </c>
      <c r="AR104" t="s">
        <v>77</v>
      </c>
      <c r="AS104" t="s">
        <v>243</v>
      </c>
      <c r="AT104" t="s">
        <v>1531</v>
      </c>
      <c r="AU104" t="s">
        <v>83</v>
      </c>
      <c r="AV104" t="s">
        <v>1532</v>
      </c>
      <c r="AW104" t="str">
        <f>"3415240"</f>
        <v>3415240</v>
      </c>
    </row>
    <row r="105" spans="1:49">
      <c r="A105" t="str">
        <f>"80"</f>
        <v>80</v>
      </c>
      <c r="B105" t="s">
        <v>544</v>
      </c>
      <c r="C105" t="str">
        <f>"7890"</f>
        <v>7890</v>
      </c>
      <c r="D105" t="s">
        <v>1533</v>
      </c>
      <c r="E105" t="str">
        <f>"920"</f>
        <v>920</v>
      </c>
      <c r="F105" t="s">
        <v>77</v>
      </c>
      <c r="G105" t="s">
        <v>1534</v>
      </c>
      <c r="H105" t="s">
        <v>1535</v>
      </c>
      <c r="I105" t="s">
        <v>128</v>
      </c>
      <c r="J105" s="2" t="s">
        <v>1536</v>
      </c>
      <c r="K105" t="s">
        <v>1537</v>
      </c>
      <c r="L105" t="s">
        <v>60</v>
      </c>
      <c r="M105" t="s">
        <v>1538</v>
      </c>
      <c r="N105" t="s">
        <v>62</v>
      </c>
      <c r="O105" t="str">
        <f>"07666"</f>
        <v>07666</v>
      </c>
      <c r="P105" t="s">
        <v>1537</v>
      </c>
      <c r="S105" t="s">
        <v>1538</v>
      </c>
      <c r="T105" t="s">
        <v>62</v>
      </c>
      <c r="U105" t="str">
        <f>"07666"</f>
        <v>07666</v>
      </c>
      <c r="W105" t="s">
        <v>1539</v>
      </c>
      <c r="X105" t="s">
        <v>77</v>
      </c>
      <c r="Y105" t="s">
        <v>319</v>
      </c>
      <c r="Z105" t="s">
        <v>1540</v>
      </c>
      <c r="AA105" t="s">
        <v>112</v>
      </c>
      <c r="AB105" t="s">
        <v>70</v>
      </c>
      <c r="AC105" t="s">
        <v>1541</v>
      </c>
      <c r="AD105" t="s">
        <v>1542</v>
      </c>
      <c r="AE105" t="s">
        <v>98</v>
      </c>
      <c r="AF105" t="s">
        <v>70</v>
      </c>
      <c r="AG105" t="s">
        <v>1543</v>
      </c>
      <c r="AH105" t="s">
        <v>1544</v>
      </c>
      <c r="AI105" t="s">
        <v>73</v>
      </c>
      <c r="AJ105" t="s">
        <v>77</v>
      </c>
      <c r="AK105" t="s">
        <v>1534</v>
      </c>
      <c r="AL105" t="s">
        <v>1535</v>
      </c>
      <c r="AM105" t="s">
        <v>76</v>
      </c>
      <c r="AN105" t="s">
        <v>77</v>
      </c>
      <c r="AO105" t="s">
        <v>1534</v>
      </c>
      <c r="AP105" t="s">
        <v>1535</v>
      </c>
      <c r="AQ105" t="s">
        <v>80</v>
      </c>
      <c r="AR105" t="s">
        <v>77</v>
      </c>
      <c r="AS105" t="s">
        <v>1534</v>
      </c>
      <c r="AT105" t="s">
        <v>1535</v>
      </c>
      <c r="AU105" t="s">
        <v>83</v>
      </c>
      <c r="AV105" t="s">
        <v>1545</v>
      </c>
      <c r="AW105" t="str">
        <f>"3400015"</f>
        <v>3400015</v>
      </c>
    </row>
    <row r="106" spans="1:49">
      <c r="A106" t="str">
        <f t="shared" ref="A106:A114" si="4">"03"</f>
        <v>03</v>
      </c>
      <c r="B106" t="s">
        <v>544</v>
      </c>
      <c r="C106" t="str">
        <f>"5150"</f>
        <v>5150</v>
      </c>
      <c r="D106" t="s">
        <v>1546</v>
      </c>
      <c r="F106" t="s">
        <v>65</v>
      </c>
      <c r="G106" t="s">
        <v>287</v>
      </c>
      <c r="H106" t="s">
        <v>1547</v>
      </c>
      <c r="I106" t="s">
        <v>89</v>
      </c>
      <c r="J106" s="2" t="s">
        <v>1548</v>
      </c>
      <c r="K106" t="s">
        <v>1549</v>
      </c>
      <c r="L106" t="s">
        <v>60</v>
      </c>
      <c r="M106" t="s">
        <v>1538</v>
      </c>
      <c r="N106" t="s">
        <v>62</v>
      </c>
      <c r="O106" t="str">
        <f>"07666"</f>
        <v>07666</v>
      </c>
      <c r="P106" t="s">
        <v>1549</v>
      </c>
      <c r="S106" t="s">
        <v>1538</v>
      </c>
      <c r="T106" t="s">
        <v>62</v>
      </c>
      <c r="U106" t="str">
        <f>"07666"</f>
        <v>07666</v>
      </c>
      <c r="W106" t="s">
        <v>1550</v>
      </c>
      <c r="X106" t="s">
        <v>70</v>
      </c>
      <c r="Y106" t="s">
        <v>716</v>
      </c>
      <c r="Z106" t="s">
        <v>1551</v>
      </c>
      <c r="AA106" t="s">
        <v>68</v>
      </c>
      <c r="AB106" t="s">
        <v>70</v>
      </c>
      <c r="AC106" t="s">
        <v>1552</v>
      </c>
      <c r="AD106" t="s">
        <v>1553</v>
      </c>
      <c r="AE106" t="s">
        <v>98</v>
      </c>
      <c r="AF106" t="s">
        <v>70</v>
      </c>
      <c r="AG106" t="s">
        <v>237</v>
      </c>
      <c r="AH106" t="s">
        <v>510</v>
      </c>
      <c r="AI106" t="s">
        <v>73</v>
      </c>
      <c r="AJ106" t="s">
        <v>70</v>
      </c>
      <c r="AK106" t="s">
        <v>1554</v>
      </c>
      <c r="AL106" t="s">
        <v>1555</v>
      </c>
      <c r="AM106" t="s">
        <v>76</v>
      </c>
      <c r="AN106" t="s">
        <v>77</v>
      </c>
      <c r="AO106" t="s">
        <v>792</v>
      </c>
      <c r="AP106" t="s">
        <v>1556</v>
      </c>
      <c r="AQ106" t="s">
        <v>80</v>
      </c>
      <c r="AR106" t="s">
        <v>77</v>
      </c>
      <c r="AS106" t="s">
        <v>1557</v>
      </c>
      <c r="AT106" t="s">
        <v>1558</v>
      </c>
      <c r="AU106" t="s">
        <v>83</v>
      </c>
      <c r="AV106" t="s">
        <v>1559</v>
      </c>
      <c r="AW106" t="str">
        <f>"3416080"</f>
        <v>3416080</v>
      </c>
    </row>
    <row r="107" spans="1:49">
      <c r="A107" t="str">
        <f t="shared" si="4"/>
        <v>03</v>
      </c>
      <c r="B107" t="s">
        <v>544</v>
      </c>
      <c r="C107" t="str">
        <f>"5160"</f>
        <v>5160</v>
      </c>
      <c r="D107" t="s">
        <v>1560</v>
      </c>
      <c r="F107" t="s">
        <v>70</v>
      </c>
      <c r="G107" t="s">
        <v>1561</v>
      </c>
      <c r="H107" t="s">
        <v>1562</v>
      </c>
      <c r="I107" t="s">
        <v>89</v>
      </c>
      <c r="J107" s="2" t="s">
        <v>1563</v>
      </c>
      <c r="K107" t="s">
        <v>1564</v>
      </c>
      <c r="L107" t="s">
        <v>60</v>
      </c>
      <c r="M107" t="s">
        <v>1565</v>
      </c>
      <c r="N107" t="s">
        <v>62</v>
      </c>
      <c r="O107" t="s">
        <v>1566</v>
      </c>
      <c r="P107" t="s">
        <v>1564</v>
      </c>
      <c r="S107" t="s">
        <v>1565</v>
      </c>
      <c r="T107" t="s">
        <v>62</v>
      </c>
      <c r="U107" t="str">
        <f>"07670"</f>
        <v>07670</v>
      </c>
      <c r="V107" t="str">
        <f>"1796"</f>
        <v>1796</v>
      </c>
      <c r="W107" t="s">
        <v>1567</v>
      </c>
      <c r="Y107" t="s">
        <v>849</v>
      </c>
      <c r="Z107" t="s">
        <v>1568</v>
      </c>
      <c r="AA107" t="s">
        <v>135</v>
      </c>
      <c r="AB107" t="s">
        <v>70</v>
      </c>
      <c r="AC107" t="s">
        <v>162</v>
      </c>
      <c r="AD107" t="s">
        <v>1569</v>
      </c>
      <c r="AE107" t="s">
        <v>98</v>
      </c>
      <c r="AF107" t="s">
        <v>70</v>
      </c>
      <c r="AG107" t="s">
        <v>1561</v>
      </c>
      <c r="AH107" t="s">
        <v>1562</v>
      </c>
      <c r="AI107" t="s">
        <v>73</v>
      </c>
      <c r="AJ107" t="s">
        <v>70</v>
      </c>
      <c r="AK107" t="s">
        <v>1561</v>
      </c>
      <c r="AL107" t="s">
        <v>1562</v>
      </c>
      <c r="AM107" t="s">
        <v>76</v>
      </c>
      <c r="AN107" t="s">
        <v>77</v>
      </c>
      <c r="AO107" t="s">
        <v>873</v>
      </c>
      <c r="AP107" t="s">
        <v>1570</v>
      </c>
      <c r="AQ107" t="s">
        <v>80</v>
      </c>
      <c r="AR107" t="s">
        <v>77</v>
      </c>
      <c r="AS107" t="s">
        <v>182</v>
      </c>
      <c r="AT107" t="s">
        <v>451</v>
      </c>
      <c r="AU107" t="s">
        <v>83</v>
      </c>
      <c r="AV107" t="s">
        <v>1571</v>
      </c>
      <c r="AW107" t="str">
        <f>"3416110"</f>
        <v>3416110</v>
      </c>
    </row>
    <row r="108" spans="1:49">
      <c r="A108" t="str">
        <f t="shared" si="4"/>
        <v>03</v>
      </c>
      <c r="B108" t="s">
        <v>544</v>
      </c>
      <c r="C108" t="str">
        <f>"5330"</f>
        <v>5330</v>
      </c>
      <c r="D108" t="s">
        <v>1572</v>
      </c>
      <c r="F108" t="s">
        <v>65</v>
      </c>
      <c r="G108" t="s">
        <v>1573</v>
      </c>
      <c r="H108" t="s">
        <v>1574</v>
      </c>
      <c r="I108" t="s">
        <v>89</v>
      </c>
      <c r="J108" s="2" t="s">
        <v>1575</v>
      </c>
      <c r="K108" t="s">
        <v>1576</v>
      </c>
      <c r="L108" t="s">
        <v>60</v>
      </c>
      <c r="M108" t="s">
        <v>1577</v>
      </c>
      <c r="N108" t="s">
        <v>62</v>
      </c>
      <c r="O108" t="str">
        <f>"07458"</f>
        <v>07458</v>
      </c>
      <c r="P108" t="s">
        <v>1576</v>
      </c>
      <c r="S108" t="s">
        <v>1577</v>
      </c>
      <c r="T108" t="s">
        <v>62</v>
      </c>
      <c r="U108" t="str">
        <f>"07458"</f>
        <v>07458</v>
      </c>
      <c r="W108" t="s">
        <v>1578</v>
      </c>
      <c r="X108" t="s">
        <v>54</v>
      </c>
      <c r="Y108" t="s">
        <v>682</v>
      </c>
      <c r="Z108" t="s">
        <v>1579</v>
      </c>
      <c r="AA108" t="s">
        <v>68</v>
      </c>
      <c r="AB108" t="s">
        <v>70</v>
      </c>
      <c r="AC108" t="s">
        <v>1580</v>
      </c>
      <c r="AD108" t="s">
        <v>1581</v>
      </c>
      <c r="AE108" t="s">
        <v>98</v>
      </c>
      <c r="AF108" t="s">
        <v>77</v>
      </c>
      <c r="AG108" t="s">
        <v>120</v>
      </c>
      <c r="AH108" t="s">
        <v>1582</v>
      </c>
      <c r="AI108" t="s">
        <v>73</v>
      </c>
      <c r="AJ108" t="s">
        <v>77</v>
      </c>
      <c r="AK108" t="s">
        <v>120</v>
      </c>
      <c r="AL108" t="s">
        <v>1583</v>
      </c>
      <c r="AM108" t="s">
        <v>76</v>
      </c>
      <c r="AN108" t="s">
        <v>77</v>
      </c>
      <c r="AO108" t="s">
        <v>87</v>
      </c>
      <c r="AP108" t="s">
        <v>1584</v>
      </c>
      <c r="AQ108" t="s">
        <v>80</v>
      </c>
      <c r="AR108" t="s">
        <v>77</v>
      </c>
      <c r="AS108" t="s">
        <v>190</v>
      </c>
      <c r="AT108" t="s">
        <v>1585</v>
      </c>
      <c r="AU108" t="s">
        <v>83</v>
      </c>
      <c r="AV108" t="s">
        <v>1586</v>
      </c>
      <c r="AW108" t="str">
        <f>"3416620"</f>
        <v>3416620</v>
      </c>
    </row>
    <row r="109" spans="1:49">
      <c r="A109" t="str">
        <f t="shared" si="4"/>
        <v>03</v>
      </c>
      <c r="B109" t="s">
        <v>544</v>
      </c>
      <c r="C109" t="str">
        <f>"5410"</f>
        <v>5410</v>
      </c>
      <c r="D109" t="s">
        <v>1587</v>
      </c>
      <c r="F109" t="s">
        <v>65</v>
      </c>
      <c r="G109" t="s">
        <v>555</v>
      </c>
      <c r="H109" t="s">
        <v>1588</v>
      </c>
      <c r="I109" t="s">
        <v>89</v>
      </c>
      <c r="J109" s="2" t="s">
        <v>1589</v>
      </c>
      <c r="K109" t="s">
        <v>1590</v>
      </c>
      <c r="L109" t="s">
        <v>60</v>
      </c>
      <c r="M109" t="s">
        <v>1591</v>
      </c>
      <c r="N109" t="s">
        <v>62</v>
      </c>
      <c r="O109" t="str">
        <f>"07463"</f>
        <v>07463</v>
      </c>
      <c r="P109" t="s">
        <v>1590</v>
      </c>
      <c r="S109" t="s">
        <v>1591</v>
      </c>
      <c r="T109" t="s">
        <v>62</v>
      </c>
      <c r="U109" t="str">
        <f>"07463"</f>
        <v>07463</v>
      </c>
      <c r="W109" t="s">
        <v>1592</v>
      </c>
      <c r="X109" t="s">
        <v>77</v>
      </c>
      <c r="Y109" t="s">
        <v>328</v>
      </c>
      <c r="Z109" t="s">
        <v>1221</v>
      </c>
      <c r="AA109" t="s">
        <v>135</v>
      </c>
      <c r="AB109" t="s">
        <v>70</v>
      </c>
      <c r="AC109" t="s">
        <v>1017</v>
      </c>
      <c r="AD109" t="s">
        <v>1593</v>
      </c>
      <c r="AE109" t="s">
        <v>98</v>
      </c>
      <c r="AF109" t="s">
        <v>70</v>
      </c>
      <c r="AG109" t="s">
        <v>607</v>
      </c>
      <c r="AH109" t="s">
        <v>1594</v>
      </c>
      <c r="AI109" t="s">
        <v>73</v>
      </c>
      <c r="AJ109" t="s">
        <v>70</v>
      </c>
      <c r="AK109" t="s">
        <v>541</v>
      </c>
      <c r="AL109" t="s">
        <v>1595</v>
      </c>
      <c r="AM109" t="s">
        <v>76</v>
      </c>
      <c r="AR109" t="s">
        <v>65</v>
      </c>
      <c r="AS109" t="s">
        <v>555</v>
      </c>
      <c r="AT109" t="s">
        <v>1588</v>
      </c>
      <c r="AU109" t="s">
        <v>83</v>
      </c>
      <c r="AV109" t="s">
        <v>1596</v>
      </c>
      <c r="AW109" t="str">
        <f>"3416860"</f>
        <v>3416860</v>
      </c>
    </row>
    <row r="110" spans="1:49">
      <c r="A110" t="str">
        <f t="shared" si="4"/>
        <v>03</v>
      </c>
      <c r="B110" t="s">
        <v>544</v>
      </c>
      <c r="C110" t="str">
        <f>"5430"</f>
        <v>5430</v>
      </c>
      <c r="D110" t="s">
        <v>1597</v>
      </c>
      <c r="F110" t="s">
        <v>77</v>
      </c>
      <c r="G110" t="s">
        <v>182</v>
      </c>
      <c r="H110" t="s">
        <v>1598</v>
      </c>
      <c r="I110" t="s">
        <v>89</v>
      </c>
      <c r="J110" s="2" t="s">
        <v>1599</v>
      </c>
      <c r="K110" t="s">
        <v>1600</v>
      </c>
      <c r="L110" t="s">
        <v>60</v>
      </c>
      <c r="M110" t="s">
        <v>1601</v>
      </c>
      <c r="N110" t="s">
        <v>62</v>
      </c>
      <c r="O110" t="str">
        <f>"07057"</f>
        <v>07057</v>
      </c>
      <c r="P110" t="s">
        <v>1600</v>
      </c>
      <c r="S110" t="s">
        <v>1601</v>
      </c>
      <c r="T110" t="s">
        <v>62</v>
      </c>
      <c r="U110" t="str">
        <f>"07057"</f>
        <v>07057</v>
      </c>
      <c r="W110" t="s">
        <v>1602</v>
      </c>
      <c r="X110" t="s">
        <v>77</v>
      </c>
      <c r="Y110" t="s">
        <v>358</v>
      </c>
      <c r="Z110" t="s">
        <v>1603</v>
      </c>
      <c r="AA110" t="s">
        <v>135</v>
      </c>
      <c r="AB110" t="s">
        <v>70</v>
      </c>
      <c r="AC110" t="s">
        <v>984</v>
      </c>
      <c r="AD110" t="s">
        <v>1604</v>
      </c>
      <c r="AE110" t="s">
        <v>98</v>
      </c>
      <c r="AF110" t="s">
        <v>70</v>
      </c>
      <c r="AG110" t="s">
        <v>1605</v>
      </c>
      <c r="AH110" t="s">
        <v>1606</v>
      </c>
      <c r="AI110" t="s">
        <v>73</v>
      </c>
      <c r="AJ110" t="s">
        <v>70</v>
      </c>
      <c r="AK110" t="s">
        <v>353</v>
      </c>
      <c r="AL110" t="s">
        <v>1607</v>
      </c>
      <c r="AM110" t="s">
        <v>76</v>
      </c>
      <c r="AN110" t="s">
        <v>77</v>
      </c>
      <c r="AO110" t="s">
        <v>1608</v>
      </c>
      <c r="AP110" t="s">
        <v>1609</v>
      </c>
      <c r="AQ110" t="s">
        <v>80</v>
      </c>
      <c r="AR110" t="s">
        <v>77</v>
      </c>
      <c r="AS110" t="s">
        <v>182</v>
      </c>
      <c r="AT110" t="s">
        <v>1598</v>
      </c>
      <c r="AU110" t="s">
        <v>83</v>
      </c>
      <c r="AV110" t="s">
        <v>1610</v>
      </c>
      <c r="AW110" t="str">
        <f>"3416920"</f>
        <v>3416920</v>
      </c>
    </row>
    <row r="111" spans="1:49">
      <c r="A111" t="str">
        <f t="shared" si="4"/>
        <v>03</v>
      </c>
      <c r="B111" t="s">
        <v>544</v>
      </c>
      <c r="C111" t="str">
        <f>"5755"</f>
        <v>5755</v>
      </c>
      <c r="D111" t="s">
        <v>1611</v>
      </c>
      <c r="F111" t="s">
        <v>65</v>
      </c>
      <c r="G111" t="s">
        <v>1479</v>
      </c>
      <c r="H111" t="s">
        <v>1360</v>
      </c>
      <c r="I111" t="s">
        <v>89</v>
      </c>
      <c r="J111" s="2" t="s">
        <v>1612</v>
      </c>
      <c r="K111" t="s">
        <v>1613</v>
      </c>
      <c r="L111" t="s">
        <v>60</v>
      </c>
      <c r="M111" t="s">
        <v>1614</v>
      </c>
      <c r="N111" t="s">
        <v>62</v>
      </c>
      <c r="O111" t="str">
        <f>"07676"</f>
        <v>07676</v>
      </c>
      <c r="P111" t="s">
        <v>1613</v>
      </c>
      <c r="S111" t="s">
        <v>1614</v>
      </c>
      <c r="T111" t="s">
        <v>62</v>
      </c>
      <c r="U111" t="str">
        <f>"07676"</f>
        <v>07676</v>
      </c>
      <c r="W111" t="s">
        <v>1615</v>
      </c>
      <c r="X111" t="s">
        <v>77</v>
      </c>
      <c r="Y111" t="s">
        <v>697</v>
      </c>
      <c r="Z111" t="s">
        <v>1616</v>
      </c>
      <c r="AA111" t="s">
        <v>135</v>
      </c>
      <c r="AB111" t="s">
        <v>77</v>
      </c>
      <c r="AC111" t="s">
        <v>1479</v>
      </c>
      <c r="AD111" t="s">
        <v>1617</v>
      </c>
      <c r="AE111" t="s">
        <v>98</v>
      </c>
      <c r="AF111" t="s">
        <v>70</v>
      </c>
      <c r="AG111" t="s">
        <v>1618</v>
      </c>
      <c r="AH111" t="s">
        <v>1619</v>
      </c>
      <c r="AI111" t="s">
        <v>73</v>
      </c>
      <c r="AJ111" t="s">
        <v>65</v>
      </c>
      <c r="AK111" t="s">
        <v>218</v>
      </c>
      <c r="AL111" t="s">
        <v>1620</v>
      </c>
      <c r="AM111" t="s">
        <v>76</v>
      </c>
      <c r="AN111" t="s">
        <v>77</v>
      </c>
      <c r="AO111" t="s">
        <v>120</v>
      </c>
      <c r="AP111" t="s">
        <v>1621</v>
      </c>
      <c r="AQ111" t="s">
        <v>80</v>
      </c>
      <c r="AR111" t="s">
        <v>77</v>
      </c>
      <c r="AS111" t="s">
        <v>178</v>
      </c>
      <c r="AT111" t="s">
        <v>1622</v>
      </c>
      <c r="AU111" t="s">
        <v>83</v>
      </c>
      <c r="AV111" t="s">
        <v>1623</v>
      </c>
      <c r="AW111" t="str">
        <f>"3417820"</f>
        <v>3417820</v>
      </c>
    </row>
    <row r="112" spans="1:49">
      <c r="A112" t="str">
        <f t="shared" si="4"/>
        <v>03</v>
      </c>
      <c r="B112" t="s">
        <v>544</v>
      </c>
      <c r="C112" t="str">
        <f>"5830"</f>
        <v>5830</v>
      </c>
      <c r="D112" t="s">
        <v>1624</v>
      </c>
      <c r="F112" t="s">
        <v>77</v>
      </c>
      <c r="G112" t="s">
        <v>166</v>
      </c>
      <c r="H112" t="s">
        <v>1598</v>
      </c>
      <c r="I112" t="s">
        <v>57</v>
      </c>
      <c r="J112" s="3" t="s">
        <v>8177</v>
      </c>
      <c r="K112" t="s">
        <v>1625</v>
      </c>
      <c r="L112" t="s">
        <v>60</v>
      </c>
      <c r="M112" t="s">
        <v>1626</v>
      </c>
      <c r="N112" t="s">
        <v>62</v>
      </c>
      <c r="O112" t="str">
        <f>"07075"</f>
        <v>07075</v>
      </c>
      <c r="P112" t="s">
        <v>1625</v>
      </c>
      <c r="S112" t="s">
        <v>1626</v>
      </c>
      <c r="T112" t="s">
        <v>62</v>
      </c>
      <c r="U112" t="str">
        <f>"07075"</f>
        <v>07075</v>
      </c>
      <c r="W112" t="s">
        <v>1627</v>
      </c>
      <c r="X112" t="s">
        <v>54</v>
      </c>
      <c r="Y112" t="s">
        <v>1628</v>
      </c>
      <c r="Z112" t="s">
        <v>1629</v>
      </c>
      <c r="AA112" t="s">
        <v>135</v>
      </c>
      <c r="AB112" t="s">
        <v>70</v>
      </c>
      <c r="AC112" t="s">
        <v>1630</v>
      </c>
      <c r="AD112" t="s">
        <v>1631</v>
      </c>
      <c r="AE112" t="s">
        <v>69</v>
      </c>
      <c r="AF112" t="s">
        <v>77</v>
      </c>
      <c r="AG112" t="s">
        <v>697</v>
      </c>
      <c r="AH112" t="s">
        <v>150</v>
      </c>
      <c r="AI112" t="s">
        <v>73</v>
      </c>
      <c r="AJ112" t="s">
        <v>77</v>
      </c>
      <c r="AK112" t="s">
        <v>697</v>
      </c>
      <c r="AL112" t="s">
        <v>150</v>
      </c>
      <c r="AM112" t="s">
        <v>76</v>
      </c>
      <c r="AN112" t="s">
        <v>65</v>
      </c>
      <c r="AO112" t="s">
        <v>436</v>
      </c>
      <c r="AP112" t="s">
        <v>995</v>
      </c>
      <c r="AQ112" t="s">
        <v>80</v>
      </c>
      <c r="AR112" t="s">
        <v>77</v>
      </c>
      <c r="AS112" t="s">
        <v>166</v>
      </c>
      <c r="AT112" t="s">
        <v>1598</v>
      </c>
      <c r="AU112" t="s">
        <v>83</v>
      </c>
      <c r="AV112" t="s">
        <v>1632</v>
      </c>
      <c r="AW112" t="str">
        <f>"3418300"</f>
        <v>3418300</v>
      </c>
    </row>
    <row r="113" spans="1:49">
      <c r="A113" t="str">
        <f t="shared" si="4"/>
        <v>03</v>
      </c>
      <c r="B113" t="s">
        <v>544</v>
      </c>
      <c r="C113" t="str">
        <f>"5880"</f>
        <v>5880</v>
      </c>
      <c r="D113" t="s">
        <v>1633</v>
      </c>
      <c r="G113" t="s">
        <v>71</v>
      </c>
      <c r="H113" t="s">
        <v>1634</v>
      </c>
      <c r="I113" t="s">
        <v>57</v>
      </c>
      <c r="J113" s="2" t="s">
        <v>1635</v>
      </c>
      <c r="K113" t="s">
        <v>1636</v>
      </c>
      <c r="L113" t="s">
        <v>60</v>
      </c>
      <c r="M113" t="s">
        <v>1637</v>
      </c>
      <c r="N113" t="s">
        <v>62</v>
      </c>
      <c r="O113" t="s">
        <v>1638</v>
      </c>
      <c r="P113" t="s">
        <v>1636</v>
      </c>
      <c r="S113" t="s">
        <v>1637</v>
      </c>
      <c r="T113" t="s">
        <v>62</v>
      </c>
      <c r="U113" t="str">
        <f>"07677"</f>
        <v>07677</v>
      </c>
      <c r="V113" t="str">
        <f>"8245"</f>
        <v>8245</v>
      </c>
      <c r="W113" t="s">
        <v>1639</v>
      </c>
      <c r="Y113" t="s">
        <v>281</v>
      </c>
      <c r="Z113" t="s">
        <v>1640</v>
      </c>
      <c r="AA113" t="s">
        <v>135</v>
      </c>
      <c r="AC113" t="s">
        <v>928</v>
      </c>
      <c r="AD113" t="s">
        <v>1641</v>
      </c>
      <c r="AE113" t="s">
        <v>69</v>
      </c>
      <c r="AG113" t="s">
        <v>371</v>
      </c>
      <c r="AH113" t="s">
        <v>1642</v>
      </c>
      <c r="AI113" t="s">
        <v>73</v>
      </c>
      <c r="AK113" t="s">
        <v>371</v>
      </c>
      <c r="AL113" t="s">
        <v>1642</v>
      </c>
      <c r="AM113" t="s">
        <v>76</v>
      </c>
      <c r="AO113" t="s">
        <v>1643</v>
      </c>
      <c r="AP113" t="s">
        <v>1644</v>
      </c>
      <c r="AQ113" t="s">
        <v>80</v>
      </c>
      <c r="AS113" t="s">
        <v>120</v>
      </c>
      <c r="AT113" t="s">
        <v>1645</v>
      </c>
      <c r="AU113" t="s">
        <v>83</v>
      </c>
      <c r="AV113" t="s">
        <v>1646</v>
      </c>
      <c r="AW113" t="str">
        <f>"3418210"</f>
        <v>3418210</v>
      </c>
    </row>
    <row r="114" spans="1:49">
      <c r="A114" t="str">
        <f t="shared" si="4"/>
        <v>03</v>
      </c>
      <c r="B114" t="s">
        <v>544</v>
      </c>
      <c r="C114" t="str">
        <f>"5920"</f>
        <v>5920</v>
      </c>
      <c r="D114" t="s">
        <v>1647</v>
      </c>
      <c r="F114" t="s">
        <v>65</v>
      </c>
      <c r="G114" t="s">
        <v>1111</v>
      </c>
      <c r="H114" t="s">
        <v>1648</v>
      </c>
      <c r="I114" t="s">
        <v>89</v>
      </c>
      <c r="J114" s="2" t="s">
        <v>1649</v>
      </c>
      <c r="K114" t="s">
        <v>1650</v>
      </c>
      <c r="L114" t="s">
        <v>60</v>
      </c>
      <c r="M114" t="s">
        <v>1651</v>
      </c>
      <c r="N114" t="s">
        <v>62</v>
      </c>
      <c r="O114" t="str">
        <f>"07481"</f>
        <v>07481</v>
      </c>
      <c r="P114" t="s">
        <v>1650</v>
      </c>
      <c r="S114" t="s">
        <v>1651</v>
      </c>
      <c r="T114" t="s">
        <v>62</v>
      </c>
      <c r="U114" t="str">
        <f>"07481"</f>
        <v>07481</v>
      </c>
      <c r="W114" t="s">
        <v>1652</v>
      </c>
      <c r="X114" t="s">
        <v>54</v>
      </c>
      <c r="Y114" t="s">
        <v>233</v>
      </c>
      <c r="Z114" t="s">
        <v>702</v>
      </c>
      <c r="AA114" t="s">
        <v>135</v>
      </c>
      <c r="AB114" t="s">
        <v>54</v>
      </c>
      <c r="AC114" t="s">
        <v>1653</v>
      </c>
      <c r="AD114" t="s">
        <v>1654</v>
      </c>
      <c r="AE114" t="s">
        <v>115</v>
      </c>
      <c r="AF114" t="s">
        <v>54</v>
      </c>
      <c r="AG114" t="s">
        <v>1655</v>
      </c>
      <c r="AH114" t="s">
        <v>1656</v>
      </c>
      <c r="AI114" t="s">
        <v>73</v>
      </c>
      <c r="AJ114" t="s">
        <v>54</v>
      </c>
      <c r="AK114" t="s">
        <v>1657</v>
      </c>
      <c r="AL114" t="s">
        <v>464</v>
      </c>
      <c r="AM114" t="s">
        <v>76</v>
      </c>
      <c r="AN114" t="s">
        <v>54</v>
      </c>
      <c r="AO114" t="s">
        <v>1658</v>
      </c>
      <c r="AP114" t="s">
        <v>1659</v>
      </c>
      <c r="AQ114" t="s">
        <v>80</v>
      </c>
      <c r="AR114" t="s">
        <v>54</v>
      </c>
      <c r="AS114" t="s">
        <v>1660</v>
      </c>
      <c r="AT114" t="s">
        <v>1661</v>
      </c>
      <c r="AU114" t="s">
        <v>83</v>
      </c>
      <c r="AV114" t="s">
        <v>1662</v>
      </c>
      <c r="AW114" t="str">
        <f>"3418360"</f>
        <v>3418360</v>
      </c>
    </row>
    <row r="115" spans="1:49">
      <c r="A115" t="str">
        <f>"80"</f>
        <v>80</v>
      </c>
      <c r="B115" t="s">
        <v>1663</v>
      </c>
      <c r="C115" t="str">
        <f>"6076"</f>
        <v>6076</v>
      </c>
      <c r="D115" t="s">
        <v>1668</v>
      </c>
      <c r="E115" t="str">
        <f>"961"</f>
        <v>961</v>
      </c>
      <c r="F115" t="s">
        <v>77</v>
      </c>
      <c r="G115" t="s">
        <v>223</v>
      </c>
      <c r="H115" t="s">
        <v>1669</v>
      </c>
      <c r="I115" t="s">
        <v>57</v>
      </c>
      <c r="J115" s="2" t="s">
        <v>1670</v>
      </c>
      <c r="K115" t="s">
        <v>1671</v>
      </c>
      <c r="L115" t="s">
        <v>60</v>
      </c>
      <c r="M115" t="s">
        <v>1672</v>
      </c>
      <c r="N115" t="s">
        <v>62</v>
      </c>
      <c r="O115" t="str">
        <f>"08060"</f>
        <v>08060</v>
      </c>
      <c r="P115" t="s">
        <v>1673</v>
      </c>
      <c r="S115" t="s">
        <v>1674</v>
      </c>
      <c r="T115" t="s">
        <v>62</v>
      </c>
      <c r="U115" t="str">
        <f>"08060"</f>
        <v>08060</v>
      </c>
      <c r="W115" t="s">
        <v>1675</v>
      </c>
      <c r="X115" t="s">
        <v>77</v>
      </c>
      <c r="Y115" t="s">
        <v>170</v>
      </c>
      <c r="Z115" t="s">
        <v>1676</v>
      </c>
      <c r="AA115" t="s">
        <v>112</v>
      </c>
      <c r="AB115" t="s">
        <v>77</v>
      </c>
      <c r="AC115" t="s">
        <v>243</v>
      </c>
      <c r="AD115" t="s">
        <v>1677</v>
      </c>
      <c r="AE115" t="s">
        <v>98</v>
      </c>
      <c r="AF115" t="s">
        <v>77</v>
      </c>
      <c r="AG115" t="s">
        <v>223</v>
      </c>
      <c r="AH115" t="s">
        <v>1669</v>
      </c>
      <c r="AI115" t="s">
        <v>73</v>
      </c>
      <c r="AJ115" t="s">
        <v>77</v>
      </c>
      <c r="AK115" t="s">
        <v>1678</v>
      </c>
      <c r="AL115" t="s">
        <v>1679</v>
      </c>
      <c r="AM115" t="s">
        <v>76</v>
      </c>
      <c r="AN115" t="s">
        <v>77</v>
      </c>
      <c r="AO115" t="s">
        <v>170</v>
      </c>
      <c r="AP115" t="s">
        <v>1676</v>
      </c>
      <c r="AQ115" t="s">
        <v>80</v>
      </c>
      <c r="AR115" t="s">
        <v>77</v>
      </c>
      <c r="AS115" t="s">
        <v>1680</v>
      </c>
      <c r="AT115" t="s">
        <v>1681</v>
      </c>
      <c r="AU115" t="s">
        <v>83</v>
      </c>
      <c r="AV115" t="s">
        <v>1682</v>
      </c>
    </row>
    <row r="116" spans="1:49">
      <c r="A116" t="str">
        <f t="shared" ref="A116:A145" si="5">"05"</f>
        <v>05</v>
      </c>
      <c r="B116" t="s">
        <v>1663</v>
      </c>
      <c r="C116" t="str">
        <f>"0380"</f>
        <v>0380</v>
      </c>
      <c r="D116" t="s">
        <v>1683</v>
      </c>
      <c r="F116" t="s">
        <v>65</v>
      </c>
      <c r="G116" t="s">
        <v>1684</v>
      </c>
      <c r="H116" t="s">
        <v>1685</v>
      </c>
      <c r="I116" t="s">
        <v>89</v>
      </c>
      <c r="J116" s="2" t="s">
        <v>1686</v>
      </c>
      <c r="K116" t="s">
        <v>1687</v>
      </c>
      <c r="L116" t="s">
        <v>60</v>
      </c>
      <c r="M116" t="s">
        <v>1688</v>
      </c>
      <c r="N116" t="s">
        <v>62</v>
      </c>
      <c r="O116" t="str">
        <f>"08010"</f>
        <v>08010</v>
      </c>
      <c r="P116" t="s">
        <v>1687</v>
      </c>
      <c r="S116" t="s">
        <v>1688</v>
      </c>
      <c r="T116" t="s">
        <v>62</v>
      </c>
      <c r="U116" t="str">
        <f>"08010"</f>
        <v>08010</v>
      </c>
      <c r="W116" t="s">
        <v>1689</v>
      </c>
      <c r="X116" t="s">
        <v>77</v>
      </c>
      <c r="Y116" t="s">
        <v>1690</v>
      </c>
      <c r="Z116" t="s">
        <v>1691</v>
      </c>
      <c r="AA116" t="s">
        <v>112</v>
      </c>
      <c r="AB116" t="s">
        <v>54</v>
      </c>
      <c r="AC116" t="s">
        <v>1692</v>
      </c>
      <c r="AD116" t="s">
        <v>1693</v>
      </c>
      <c r="AE116" t="s">
        <v>98</v>
      </c>
      <c r="AF116" t="s">
        <v>54</v>
      </c>
      <c r="AG116" t="s">
        <v>152</v>
      </c>
      <c r="AH116" t="s">
        <v>1694</v>
      </c>
      <c r="AI116" t="s">
        <v>73</v>
      </c>
      <c r="AJ116" t="s">
        <v>54</v>
      </c>
      <c r="AK116" t="s">
        <v>152</v>
      </c>
      <c r="AL116" t="s">
        <v>1694</v>
      </c>
      <c r="AM116" t="s">
        <v>76</v>
      </c>
      <c r="AN116" t="s">
        <v>77</v>
      </c>
      <c r="AO116" t="s">
        <v>1695</v>
      </c>
      <c r="AP116" t="s">
        <v>88</v>
      </c>
      <c r="AQ116" t="s">
        <v>80</v>
      </c>
      <c r="AR116" t="s">
        <v>65</v>
      </c>
      <c r="AS116" t="s">
        <v>1684</v>
      </c>
      <c r="AT116" t="s">
        <v>1685</v>
      </c>
      <c r="AU116" t="s">
        <v>83</v>
      </c>
      <c r="AV116" t="s">
        <v>1696</v>
      </c>
      <c r="AW116" t="str">
        <f>"3401740"</f>
        <v>3401740</v>
      </c>
    </row>
    <row r="117" spans="1:49">
      <c r="A117" t="str">
        <f t="shared" si="5"/>
        <v>05</v>
      </c>
      <c r="B117" t="s">
        <v>1663</v>
      </c>
      <c r="C117" t="str">
        <f>"0475"</f>
        <v>0475</v>
      </c>
      <c r="D117" t="s">
        <v>1697</v>
      </c>
      <c r="F117" t="s">
        <v>65</v>
      </c>
      <c r="G117" t="s">
        <v>1030</v>
      </c>
      <c r="H117" t="s">
        <v>1698</v>
      </c>
      <c r="I117" t="s">
        <v>89</v>
      </c>
      <c r="J117" s="2" t="s">
        <v>1699</v>
      </c>
      <c r="K117" t="s">
        <v>1700</v>
      </c>
      <c r="L117" t="s">
        <v>60</v>
      </c>
      <c r="M117" t="s">
        <v>1701</v>
      </c>
      <c r="N117" t="s">
        <v>62</v>
      </c>
      <c r="O117" t="str">
        <f>"08505"</f>
        <v>08505</v>
      </c>
      <c r="P117" t="s">
        <v>1700</v>
      </c>
      <c r="S117" t="s">
        <v>1701</v>
      </c>
      <c r="T117" t="s">
        <v>62</v>
      </c>
      <c r="U117" t="str">
        <f>"08505"</f>
        <v>08505</v>
      </c>
      <c r="W117" t="s">
        <v>1702</v>
      </c>
      <c r="X117" t="s">
        <v>54</v>
      </c>
      <c r="Y117" t="s">
        <v>1703</v>
      </c>
      <c r="Z117" t="s">
        <v>1704</v>
      </c>
      <c r="AA117" t="s">
        <v>135</v>
      </c>
      <c r="AB117" t="s">
        <v>70</v>
      </c>
      <c r="AC117" t="s">
        <v>1444</v>
      </c>
      <c r="AD117" t="s">
        <v>1705</v>
      </c>
      <c r="AE117" t="s">
        <v>98</v>
      </c>
      <c r="AF117" t="s">
        <v>70</v>
      </c>
      <c r="AG117" t="s">
        <v>1706</v>
      </c>
      <c r="AH117" t="s">
        <v>1707</v>
      </c>
      <c r="AI117" t="s">
        <v>73</v>
      </c>
      <c r="AJ117" t="s">
        <v>70</v>
      </c>
      <c r="AK117" t="s">
        <v>291</v>
      </c>
      <c r="AL117" t="s">
        <v>1704</v>
      </c>
      <c r="AM117" t="s">
        <v>76</v>
      </c>
      <c r="AR117" t="s">
        <v>70</v>
      </c>
      <c r="AS117" t="s">
        <v>1708</v>
      </c>
      <c r="AT117" t="s">
        <v>1709</v>
      </c>
      <c r="AU117" t="s">
        <v>83</v>
      </c>
      <c r="AV117" t="s">
        <v>1710</v>
      </c>
      <c r="AW117" t="str">
        <f>"3402030"</f>
        <v>3402030</v>
      </c>
    </row>
    <row r="118" spans="1:49">
      <c r="A118" t="str">
        <f t="shared" si="5"/>
        <v>05</v>
      </c>
      <c r="B118" t="s">
        <v>1663</v>
      </c>
      <c r="C118" t="str">
        <f>"0600"</f>
        <v>0600</v>
      </c>
      <c r="D118" t="s">
        <v>1711</v>
      </c>
      <c r="F118" t="s">
        <v>65</v>
      </c>
      <c r="G118" t="s">
        <v>328</v>
      </c>
      <c r="H118" t="s">
        <v>1712</v>
      </c>
      <c r="I118" t="s">
        <v>89</v>
      </c>
      <c r="J118" s="2" t="s">
        <v>1713</v>
      </c>
      <c r="K118" t="s">
        <v>1714</v>
      </c>
      <c r="L118" t="s">
        <v>60</v>
      </c>
      <c r="M118" t="s">
        <v>1715</v>
      </c>
      <c r="N118" t="s">
        <v>62</v>
      </c>
      <c r="O118" t="str">
        <f>"08016"</f>
        <v>08016</v>
      </c>
      <c r="P118" t="s">
        <v>1716</v>
      </c>
      <c r="S118" t="s">
        <v>1715</v>
      </c>
      <c r="T118" t="s">
        <v>62</v>
      </c>
      <c r="U118" t="str">
        <f>"08016"</f>
        <v>08016</v>
      </c>
      <c r="W118" t="s">
        <v>1717</v>
      </c>
      <c r="X118" t="s">
        <v>77</v>
      </c>
      <c r="Y118" t="s">
        <v>1479</v>
      </c>
      <c r="Z118" t="s">
        <v>1718</v>
      </c>
      <c r="AA118" t="s">
        <v>112</v>
      </c>
      <c r="AB118" t="s">
        <v>77</v>
      </c>
      <c r="AC118" t="s">
        <v>120</v>
      </c>
      <c r="AD118" t="s">
        <v>1719</v>
      </c>
      <c r="AE118" t="s">
        <v>69</v>
      </c>
      <c r="AF118" t="s">
        <v>54</v>
      </c>
      <c r="AG118" t="s">
        <v>1720</v>
      </c>
      <c r="AH118" t="s">
        <v>1721</v>
      </c>
      <c r="AI118" t="s">
        <v>73</v>
      </c>
      <c r="AJ118" t="s">
        <v>77</v>
      </c>
      <c r="AK118" t="s">
        <v>404</v>
      </c>
      <c r="AL118" t="s">
        <v>560</v>
      </c>
      <c r="AM118" t="s">
        <v>76</v>
      </c>
      <c r="AN118" t="s">
        <v>77</v>
      </c>
      <c r="AO118" t="s">
        <v>873</v>
      </c>
      <c r="AP118" t="s">
        <v>1722</v>
      </c>
      <c r="AQ118" t="s">
        <v>80</v>
      </c>
      <c r="AR118" t="s">
        <v>77</v>
      </c>
      <c r="AS118" t="s">
        <v>1479</v>
      </c>
      <c r="AT118" t="s">
        <v>1718</v>
      </c>
      <c r="AU118" t="s">
        <v>83</v>
      </c>
      <c r="AV118" t="s">
        <v>1723</v>
      </c>
      <c r="AW118" t="str">
        <f>"3402430"</f>
        <v>3402430</v>
      </c>
    </row>
    <row r="119" spans="1:49">
      <c r="A119" t="str">
        <f t="shared" si="5"/>
        <v>05</v>
      </c>
      <c r="B119" t="s">
        <v>1663</v>
      </c>
      <c r="C119" t="str">
        <f>"0610"</f>
        <v>0610</v>
      </c>
      <c r="D119" t="s">
        <v>1724</v>
      </c>
      <c r="F119" t="s">
        <v>65</v>
      </c>
      <c r="G119" t="s">
        <v>287</v>
      </c>
      <c r="H119" t="s">
        <v>1725</v>
      </c>
      <c r="I119" t="s">
        <v>89</v>
      </c>
      <c r="J119" s="2" t="s">
        <v>1726</v>
      </c>
      <c r="K119" t="s">
        <v>1727</v>
      </c>
      <c r="L119" t="s">
        <v>1728</v>
      </c>
      <c r="M119" t="s">
        <v>1674</v>
      </c>
      <c r="N119" t="s">
        <v>62</v>
      </c>
      <c r="O119" t="s">
        <v>1729</v>
      </c>
      <c r="P119" t="s">
        <v>1730</v>
      </c>
      <c r="S119" t="s">
        <v>1674</v>
      </c>
      <c r="T119" t="s">
        <v>62</v>
      </c>
      <c r="U119" t="str">
        <f>"08060"</f>
        <v>08060</v>
      </c>
      <c r="V119" t="str">
        <f>"3826"</f>
        <v>3826</v>
      </c>
      <c r="W119" t="s">
        <v>1731</v>
      </c>
      <c r="X119" t="s">
        <v>77</v>
      </c>
      <c r="Y119" t="s">
        <v>422</v>
      </c>
      <c r="Z119" t="s">
        <v>1732</v>
      </c>
      <c r="AA119" t="s">
        <v>68</v>
      </c>
      <c r="AB119" t="s">
        <v>54</v>
      </c>
      <c r="AC119" t="s">
        <v>932</v>
      </c>
      <c r="AD119" t="s">
        <v>1733</v>
      </c>
      <c r="AE119" t="s">
        <v>415</v>
      </c>
      <c r="AF119" t="s">
        <v>65</v>
      </c>
      <c r="AG119" t="s">
        <v>1734</v>
      </c>
      <c r="AH119" t="s">
        <v>1735</v>
      </c>
      <c r="AI119" t="s">
        <v>73</v>
      </c>
      <c r="AJ119" t="s">
        <v>65</v>
      </c>
      <c r="AK119" t="s">
        <v>1734</v>
      </c>
      <c r="AL119" t="s">
        <v>1735</v>
      </c>
      <c r="AM119" t="s">
        <v>76</v>
      </c>
      <c r="AN119" t="s">
        <v>77</v>
      </c>
      <c r="AO119" t="s">
        <v>357</v>
      </c>
      <c r="AP119" t="s">
        <v>1736</v>
      </c>
      <c r="AQ119" t="s">
        <v>80</v>
      </c>
      <c r="AR119" t="s">
        <v>77</v>
      </c>
      <c r="AS119" t="s">
        <v>1737</v>
      </c>
      <c r="AT119" t="s">
        <v>857</v>
      </c>
      <c r="AU119" t="s">
        <v>83</v>
      </c>
      <c r="AV119" t="s">
        <v>1738</v>
      </c>
      <c r="AW119" t="str">
        <f>"3402490"</f>
        <v>3402490</v>
      </c>
    </row>
    <row r="120" spans="1:49">
      <c r="A120" t="str">
        <f t="shared" si="5"/>
        <v>05</v>
      </c>
      <c r="B120" t="s">
        <v>1663</v>
      </c>
      <c r="C120" t="str">
        <f>"0605"</f>
        <v>0605</v>
      </c>
      <c r="D120" t="s">
        <v>1739</v>
      </c>
      <c r="F120" t="s">
        <v>65</v>
      </c>
      <c r="G120" t="s">
        <v>287</v>
      </c>
      <c r="H120" t="s">
        <v>1725</v>
      </c>
      <c r="I120" t="s">
        <v>89</v>
      </c>
      <c r="J120" s="2" t="s">
        <v>1726</v>
      </c>
      <c r="K120" t="s">
        <v>1740</v>
      </c>
      <c r="L120" t="s">
        <v>60</v>
      </c>
      <c r="M120" t="s">
        <v>1741</v>
      </c>
      <c r="N120" t="s">
        <v>62</v>
      </c>
      <c r="O120" t="s">
        <v>1742</v>
      </c>
      <c r="P120" t="s">
        <v>1740</v>
      </c>
      <c r="S120" t="s">
        <v>1741</v>
      </c>
      <c r="T120" t="s">
        <v>62</v>
      </c>
      <c r="U120" t="str">
        <f>"08060"</f>
        <v>08060</v>
      </c>
      <c r="V120" t="str">
        <f>"3824"</f>
        <v>3824</v>
      </c>
      <c r="W120" t="s">
        <v>1743</v>
      </c>
      <c r="X120" t="s">
        <v>77</v>
      </c>
      <c r="Y120" t="s">
        <v>422</v>
      </c>
      <c r="Z120" t="s">
        <v>1744</v>
      </c>
      <c r="AA120" t="s">
        <v>68</v>
      </c>
      <c r="AB120" t="s">
        <v>54</v>
      </c>
      <c r="AC120" t="s">
        <v>1745</v>
      </c>
      <c r="AD120" t="s">
        <v>1746</v>
      </c>
      <c r="AE120" t="s">
        <v>415</v>
      </c>
      <c r="AF120" t="s">
        <v>77</v>
      </c>
      <c r="AG120" t="s">
        <v>357</v>
      </c>
      <c r="AH120" t="s">
        <v>1747</v>
      </c>
      <c r="AI120" t="s">
        <v>73</v>
      </c>
      <c r="AJ120" t="s">
        <v>70</v>
      </c>
      <c r="AK120" t="s">
        <v>1748</v>
      </c>
      <c r="AL120" t="s">
        <v>1749</v>
      </c>
      <c r="AM120" t="s">
        <v>76</v>
      </c>
      <c r="AV120" t="s">
        <v>1750</v>
      </c>
      <c r="AW120" t="str">
        <f>"3402440"</f>
        <v>3402440</v>
      </c>
    </row>
    <row r="121" spans="1:49">
      <c r="A121" t="str">
        <f t="shared" si="5"/>
        <v>05</v>
      </c>
      <c r="B121" t="s">
        <v>1663</v>
      </c>
      <c r="C121" t="str">
        <f>"0620"</f>
        <v>0620</v>
      </c>
      <c r="D121" t="s">
        <v>1751</v>
      </c>
      <c r="F121" t="s">
        <v>54</v>
      </c>
      <c r="G121" t="s">
        <v>1752</v>
      </c>
      <c r="H121" t="s">
        <v>1753</v>
      </c>
      <c r="I121" t="s">
        <v>89</v>
      </c>
      <c r="J121" s="2" t="s">
        <v>1754</v>
      </c>
      <c r="K121" t="s">
        <v>1755</v>
      </c>
      <c r="L121" t="s">
        <v>1756</v>
      </c>
      <c r="M121" t="s">
        <v>1715</v>
      </c>
      <c r="N121" t="s">
        <v>62</v>
      </c>
      <c r="O121" t="str">
        <f>"08016"</f>
        <v>08016</v>
      </c>
      <c r="P121" t="s">
        <v>1757</v>
      </c>
      <c r="S121" t="s">
        <v>1715</v>
      </c>
      <c r="T121" t="s">
        <v>62</v>
      </c>
      <c r="U121" t="str">
        <f>"08016"</f>
        <v>08016</v>
      </c>
      <c r="W121" t="s">
        <v>1758</v>
      </c>
      <c r="X121" t="s">
        <v>77</v>
      </c>
      <c r="Y121" t="s">
        <v>663</v>
      </c>
      <c r="Z121" t="s">
        <v>1759</v>
      </c>
      <c r="AA121" t="s">
        <v>135</v>
      </c>
      <c r="AB121" t="s">
        <v>77</v>
      </c>
      <c r="AC121" t="s">
        <v>287</v>
      </c>
      <c r="AD121" t="s">
        <v>1760</v>
      </c>
      <c r="AE121" t="s">
        <v>98</v>
      </c>
      <c r="AF121" t="s">
        <v>65</v>
      </c>
      <c r="AG121" t="s">
        <v>1761</v>
      </c>
      <c r="AH121" t="s">
        <v>1762</v>
      </c>
      <c r="AI121" t="s">
        <v>73</v>
      </c>
      <c r="AJ121" t="s">
        <v>70</v>
      </c>
      <c r="AK121" t="s">
        <v>1763</v>
      </c>
      <c r="AL121" t="s">
        <v>1690</v>
      </c>
      <c r="AM121" t="s">
        <v>76</v>
      </c>
      <c r="AN121" t="s">
        <v>70</v>
      </c>
      <c r="AO121" t="s">
        <v>957</v>
      </c>
      <c r="AP121" t="s">
        <v>578</v>
      </c>
      <c r="AQ121" t="s">
        <v>80</v>
      </c>
      <c r="AR121" t="s">
        <v>77</v>
      </c>
      <c r="AS121" t="s">
        <v>663</v>
      </c>
      <c r="AT121" t="s">
        <v>1759</v>
      </c>
      <c r="AU121" t="s">
        <v>83</v>
      </c>
      <c r="AV121" t="s">
        <v>1764</v>
      </c>
      <c r="AW121" t="str">
        <f>"3402460"</f>
        <v>3402460</v>
      </c>
    </row>
    <row r="122" spans="1:49">
      <c r="A122" t="str">
        <f t="shared" si="5"/>
        <v>05</v>
      </c>
      <c r="B122" t="s">
        <v>1663</v>
      </c>
      <c r="C122" t="str">
        <f>"0830"</f>
        <v>0830</v>
      </c>
      <c r="D122" t="s">
        <v>1765</v>
      </c>
      <c r="F122" t="s">
        <v>77</v>
      </c>
      <c r="G122" t="s">
        <v>436</v>
      </c>
      <c r="H122" t="s">
        <v>1766</v>
      </c>
      <c r="I122" t="s">
        <v>89</v>
      </c>
      <c r="J122" s="2" t="s">
        <v>1767</v>
      </c>
      <c r="K122" t="s">
        <v>1768</v>
      </c>
      <c r="L122" t="s">
        <v>60</v>
      </c>
      <c r="M122" t="s">
        <v>1769</v>
      </c>
      <c r="N122" t="s">
        <v>62</v>
      </c>
      <c r="O122" t="str">
        <f>"08515"</f>
        <v>08515</v>
      </c>
      <c r="P122" t="s">
        <v>1768</v>
      </c>
      <c r="S122" t="s">
        <v>1769</v>
      </c>
      <c r="T122" t="s">
        <v>62</v>
      </c>
      <c r="U122" t="str">
        <f>"08515"</f>
        <v>08515</v>
      </c>
      <c r="W122" t="s">
        <v>1770</v>
      </c>
      <c r="X122" t="s">
        <v>77</v>
      </c>
      <c r="Y122" t="s">
        <v>422</v>
      </c>
      <c r="Z122" t="s">
        <v>1771</v>
      </c>
      <c r="AA122" t="s">
        <v>135</v>
      </c>
      <c r="AB122" t="s">
        <v>65</v>
      </c>
      <c r="AC122" t="s">
        <v>435</v>
      </c>
      <c r="AD122" t="s">
        <v>618</v>
      </c>
      <c r="AE122" t="s">
        <v>913</v>
      </c>
      <c r="AF122" t="s">
        <v>54</v>
      </c>
      <c r="AG122" t="s">
        <v>1772</v>
      </c>
      <c r="AH122" t="s">
        <v>1773</v>
      </c>
      <c r="AI122" t="s">
        <v>73</v>
      </c>
      <c r="AJ122" t="s">
        <v>54</v>
      </c>
      <c r="AK122" t="s">
        <v>435</v>
      </c>
      <c r="AL122" t="s">
        <v>618</v>
      </c>
      <c r="AM122" t="s">
        <v>76</v>
      </c>
      <c r="AN122" t="s">
        <v>77</v>
      </c>
      <c r="AO122" t="s">
        <v>136</v>
      </c>
      <c r="AP122" t="s">
        <v>222</v>
      </c>
      <c r="AQ122" t="s">
        <v>80</v>
      </c>
      <c r="AR122" t="s">
        <v>77</v>
      </c>
      <c r="AS122" t="s">
        <v>120</v>
      </c>
      <c r="AT122" t="s">
        <v>282</v>
      </c>
      <c r="AU122" t="s">
        <v>83</v>
      </c>
      <c r="AV122" t="s">
        <v>1774</v>
      </c>
      <c r="AW122" t="str">
        <f>"3403090"</f>
        <v>3403090</v>
      </c>
    </row>
    <row r="123" spans="1:49">
      <c r="A123" t="str">
        <f t="shared" si="5"/>
        <v>05</v>
      </c>
      <c r="B123" t="s">
        <v>1663</v>
      </c>
      <c r="C123" t="str">
        <f>"0840"</f>
        <v>0840</v>
      </c>
      <c r="D123" t="s">
        <v>1775</v>
      </c>
      <c r="G123" t="s">
        <v>78</v>
      </c>
      <c r="H123" t="s">
        <v>1776</v>
      </c>
      <c r="I123" t="s">
        <v>89</v>
      </c>
      <c r="J123" s="2" t="s">
        <v>1777</v>
      </c>
      <c r="K123" t="s">
        <v>1778</v>
      </c>
      <c r="L123" t="s">
        <v>60</v>
      </c>
      <c r="M123" t="s">
        <v>1779</v>
      </c>
      <c r="N123" t="s">
        <v>62</v>
      </c>
      <c r="O123" t="s">
        <v>1780</v>
      </c>
      <c r="P123" t="s">
        <v>1778</v>
      </c>
      <c r="S123" t="s">
        <v>1779</v>
      </c>
      <c r="T123" t="s">
        <v>62</v>
      </c>
      <c r="U123" t="str">
        <f>"08077"</f>
        <v>08077</v>
      </c>
      <c r="V123" t="str">
        <f>"3729"</f>
        <v>3729</v>
      </c>
      <c r="W123" t="s">
        <v>1781</v>
      </c>
      <c r="Y123" t="s">
        <v>319</v>
      </c>
      <c r="Z123" t="s">
        <v>1782</v>
      </c>
      <c r="AA123" t="s">
        <v>135</v>
      </c>
      <c r="AC123" t="s">
        <v>1783</v>
      </c>
      <c r="AD123" t="s">
        <v>1784</v>
      </c>
      <c r="AE123" t="s">
        <v>98</v>
      </c>
      <c r="AG123" t="s">
        <v>1785</v>
      </c>
      <c r="AH123" t="s">
        <v>1786</v>
      </c>
      <c r="AI123" t="s">
        <v>73</v>
      </c>
      <c r="AK123" t="s">
        <v>1785</v>
      </c>
      <c r="AL123" t="s">
        <v>1786</v>
      </c>
      <c r="AM123" t="s">
        <v>76</v>
      </c>
      <c r="AO123" t="s">
        <v>78</v>
      </c>
      <c r="AP123" t="s">
        <v>1776</v>
      </c>
      <c r="AQ123" t="s">
        <v>80</v>
      </c>
      <c r="AS123" t="s">
        <v>1785</v>
      </c>
      <c r="AT123" t="s">
        <v>1786</v>
      </c>
      <c r="AU123" t="s">
        <v>83</v>
      </c>
      <c r="AV123" t="s">
        <v>1787</v>
      </c>
      <c r="AW123" t="str">
        <f>"3403120"</f>
        <v>3403120</v>
      </c>
    </row>
    <row r="124" spans="1:49">
      <c r="A124" t="str">
        <f t="shared" si="5"/>
        <v>05</v>
      </c>
      <c r="B124" t="s">
        <v>1663</v>
      </c>
      <c r="C124" t="str">
        <f>"1030"</f>
        <v>1030</v>
      </c>
      <c r="D124" t="s">
        <v>1788</v>
      </c>
      <c r="F124" t="s">
        <v>77</v>
      </c>
      <c r="G124" t="s">
        <v>358</v>
      </c>
      <c r="H124" t="s">
        <v>1789</v>
      </c>
      <c r="I124" t="s">
        <v>89</v>
      </c>
      <c r="J124" s="2" t="s">
        <v>1790</v>
      </c>
      <c r="K124" t="s">
        <v>1791</v>
      </c>
      <c r="L124" t="s">
        <v>60</v>
      </c>
      <c r="M124" t="s">
        <v>1792</v>
      </c>
      <c r="N124" t="s">
        <v>62</v>
      </c>
      <c r="O124" t="str">
        <f>"08075"</f>
        <v>08075</v>
      </c>
      <c r="P124" t="s">
        <v>1791</v>
      </c>
      <c r="S124" t="s">
        <v>1792</v>
      </c>
      <c r="T124" t="s">
        <v>62</v>
      </c>
      <c r="U124" t="str">
        <f>"08075"</f>
        <v>08075</v>
      </c>
      <c r="W124" t="s">
        <v>1793</v>
      </c>
      <c r="X124" t="s">
        <v>54</v>
      </c>
      <c r="Y124" t="s">
        <v>730</v>
      </c>
      <c r="Z124" t="s">
        <v>1794</v>
      </c>
      <c r="AA124" t="s">
        <v>135</v>
      </c>
      <c r="AC124" t="s">
        <v>358</v>
      </c>
      <c r="AD124" t="s">
        <v>1795</v>
      </c>
      <c r="AE124" t="s">
        <v>415</v>
      </c>
      <c r="AF124" t="s">
        <v>77</v>
      </c>
      <c r="AG124" t="s">
        <v>358</v>
      </c>
      <c r="AH124" t="s">
        <v>1789</v>
      </c>
      <c r="AI124" t="s">
        <v>73</v>
      </c>
      <c r="AJ124" t="s">
        <v>54</v>
      </c>
      <c r="AK124" t="s">
        <v>1796</v>
      </c>
      <c r="AL124" t="s">
        <v>1797</v>
      </c>
      <c r="AM124" t="s">
        <v>76</v>
      </c>
      <c r="AN124" t="s">
        <v>77</v>
      </c>
      <c r="AO124" t="s">
        <v>1798</v>
      </c>
      <c r="AP124" t="s">
        <v>1799</v>
      </c>
      <c r="AQ124" t="s">
        <v>80</v>
      </c>
      <c r="AR124" t="s">
        <v>77</v>
      </c>
      <c r="AS124" t="s">
        <v>358</v>
      </c>
      <c r="AT124" t="s">
        <v>1795</v>
      </c>
      <c r="AU124" t="s">
        <v>83</v>
      </c>
      <c r="AV124" t="s">
        <v>1800</v>
      </c>
      <c r="AW124" t="str">
        <f>"3403690"</f>
        <v>3403690</v>
      </c>
    </row>
    <row r="125" spans="1:49">
      <c r="A125" t="str">
        <f t="shared" si="5"/>
        <v>05</v>
      </c>
      <c r="B125" t="s">
        <v>1663</v>
      </c>
      <c r="C125" t="str">
        <f>"1060"</f>
        <v>1060</v>
      </c>
      <c r="D125" t="s">
        <v>1801</v>
      </c>
      <c r="F125" t="s">
        <v>65</v>
      </c>
      <c r="G125" t="s">
        <v>212</v>
      </c>
      <c r="H125" t="s">
        <v>1802</v>
      </c>
      <c r="I125" t="s">
        <v>57</v>
      </c>
      <c r="J125" s="2" t="s">
        <v>1803</v>
      </c>
      <c r="K125" t="s">
        <v>1804</v>
      </c>
      <c r="L125" t="s">
        <v>60</v>
      </c>
      <c r="M125" t="s">
        <v>1805</v>
      </c>
      <c r="N125" t="s">
        <v>62</v>
      </c>
      <c r="O125" t="str">
        <f>"08075"</f>
        <v>08075</v>
      </c>
      <c r="P125" t="s">
        <v>1804</v>
      </c>
      <c r="S125" t="s">
        <v>1805</v>
      </c>
      <c r="T125" t="s">
        <v>62</v>
      </c>
      <c r="U125" t="str">
        <f>"08075"</f>
        <v>08075</v>
      </c>
      <c r="W125" t="s">
        <v>1806</v>
      </c>
      <c r="X125" t="s">
        <v>70</v>
      </c>
      <c r="Y125" t="s">
        <v>1807</v>
      </c>
      <c r="Z125" t="s">
        <v>1808</v>
      </c>
      <c r="AA125" t="s">
        <v>135</v>
      </c>
      <c r="AB125" t="s">
        <v>65</v>
      </c>
      <c r="AC125" t="s">
        <v>150</v>
      </c>
      <c r="AD125" t="s">
        <v>1809</v>
      </c>
      <c r="AE125" t="s">
        <v>913</v>
      </c>
      <c r="AF125" t="s">
        <v>54</v>
      </c>
      <c r="AG125" t="s">
        <v>306</v>
      </c>
      <c r="AH125" t="s">
        <v>1810</v>
      </c>
      <c r="AI125" t="s">
        <v>73</v>
      </c>
      <c r="AJ125" t="s">
        <v>54</v>
      </c>
      <c r="AK125" t="s">
        <v>306</v>
      </c>
      <c r="AL125" t="s">
        <v>1810</v>
      </c>
      <c r="AM125" t="s">
        <v>76</v>
      </c>
      <c r="AN125" t="s">
        <v>77</v>
      </c>
      <c r="AO125" t="s">
        <v>1811</v>
      </c>
      <c r="AP125" t="s">
        <v>1812</v>
      </c>
      <c r="AQ125" t="s">
        <v>80</v>
      </c>
      <c r="AR125" t="s">
        <v>77</v>
      </c>
      <c r="AS125" t="s">
        <v>593</v>
      </c>
      <c r="AT125" t="s">
        <v>1813</v>
      </c>
      <c r="AU125" t="s">
        <v>83</v>
      </c>
      <c r="AV125" t="s">
        <v>1814</v>
      </c>
      <c r="AW125" t="str">
        <f>"3403780"</f>
        <v>3403780</v>
      </c>
    </row>
    <row r="126" spans="1:49">
      <c r="A126" t="str">
        <f t="shared" si="5"/>
        <v>05</v>
      </c>
      <c r="B126" t="s">
        <v>1663</v>
      </c>
      <c r="C126" t="str">
        <f>"1250"</f>
        <v>1250</v>
      </c>
      <c r="D126" t="s">
        <v>1815</v>
      </c>
      <c r="F126" t="s">
        <v>77</v>
      </c>
      <c r="G126" t="s">
        <v>1816</v>
      </c>
      <c r="H126" t="s">
        <v>1817</v>
      </c>
      <c r="I126" t="s">
        <v>57</v>
      </c>
      <c r="J126" s="2" t="s">
        <v>1818</v>
      </c>
      <c r="K126" t="s">
        <v>1819</v>
      </c>
      <c r="L126" t="s">
        <v>60</v>
      </c>
      <c r="M126" t="s">
        <v>1820</v>
      </c>
      <c r="N126" t="s">
        <v>62</v>
      </c>
      <c r="O126" t="s">
        <v>1821</v>
      </c>
      <c r="P126" t="s">
        <v>1819</v>
      </c>
      <c r="S126" t="s">
        <v>1820</v>
      </c>
      <c r="T126" t="s">
        <v>62</v>
      </c>
      <c r="U126" t="str">
        <f>"08060"</f>
        <v>08060</v>
      </c>
      <c r="V126" t="str">
        <f>"5411"</f>
        <v>5411</v>
      </c>
      <c r="W126" t="s">
        <v>1822</v>
      </c>
      <c r="X126" t="s">
        <v>70</v>
      </c>
      <c r="Y126" t="s">
        <v>233</v>
      </c>
      <c r="Z126" t="s">
        <v>1823</v>
      </c>
      <c r="AA126" t="s">
        <v>773</v>
      </c>
      <c r="AB126" t="s">
        <v>54</v>
      </c>
      <c r="AC126" t="s">
        <v>649</v>
      </c>
      <c r="AD126" t="s">
        <v>1824</v>
      </c>
      <c r="AE126" t="s">
        <v>69</v>
      </c>
      <c r="AF126" t="s">
        <v>77</v>
      </c>
      <c r="AG126" t="s">
        <v>120</v>
      </c>
      <c r="AH126" t="s">
        <v>1825</v>
      </c>
      <c r="AI126" t="s">
        <v>73</v>
      </c>
      <c r="AJ126" t="s">
        <v>54</v>
      </c>
      <c r="AK126" t="s">
        <v>1826</v>
      </c>
      <c r="AL126" t="s">
        <v>1827</v>
      </c>
      <c r="AM126" t="s">
        <v>76</v>
      </c>
      <c r="AN126" t="s">
        <v>54</v>
      </c>
      <c r="AO126" t="s">
        <v>1826</v>
      </c>
      <c r="AP126" t="s">
        <v>1827</v>
      </c>
      <c r="AQ126" t="s">
        <v>80</v>
      </c>
      <c r="AR126" t="s">
        <v>54</v>
      </c>
      <c r="AS126" t="s">
        <v>1828</v>
      </c>
      <c r="AT126" t="s">
        <v>1001</v>
      </c>
      <c r="AU126" t="s">
        <v>83</v>
      </c>
      <c r="AV126" t="s">
        <v>1829</v>
      </c>
      <c r="AW126" t="str">
        <f>"3404350"</f>
        <v>3404350</v>
      </c>
    </row>
    <row r="127" spans="1:49">
      <c r="A127" t="str">
        <f t="shared" si="5"/>
        <v>05</v>
      </c>
      <c r="B127" t="s">
        <v>1663</v>
      </c>
      <c r="C127" t="str">
        <f>"1280"</f>
        <v>1280</v>
      </c>
      <c r="D127" t="s">
        <v>1830</v>
      </c>
      <c r="F127" t="s">
        <v>65</v>
      </c>
      <c r="G127" t="s">
        <v>1831</v>
      </c>
      <c r="H127" t="s">
        <v>1832</v>
      </c>
      <c r="I127" t="s">
        <v>89</v>
      </c>
      <c r="J127" s="2" t="s">
        <v>1833</v>
      </c>
      <c r="K127" t="s">
        <v>1834</v>
      </c>
      <c r="L127" t="s">
        <v>60</v>
      </c>
      <c r="M127" t="s">
        <v>1835</v>
      </c>
      <c r="N127" t="s">
        <v>62</v>
      </c>
      <c r="O127" t="str">
        <f>"08010"</f>
        <v>08010</v>
      </c>
      <c r="P127" t="s">
        <v>1834</v>
      </c>
      <c r="S127" t="s">
        <v>1835</v>
      </c>
      <c r="T127" t="s">
        <v>62</v>
      </c>
      <c r="U127" t="str">
        <f>"08010"</f>
        <v>08010</v>
      </c>
      <c r="W127" t="s">
        <v>1836</v>
      </c>
      <c r="X127" t="s">
        <v>70</v>
      </c>
      <c r="Y127" t="s">
        <v>1837</v>
      </c>
      <c r="Z127" t="s">
        <v>1838</v>
      </c>
      <c r="AA127" t="s">
        <v>135</v>
      </c>
      <c r="AB127" t="s">
        <v>65</v>
      </c>
      <c r="AC127" t="s">
        <v>371</v>
      </c>
      <c r="AD127" t="s">
        <v>1839</v>
      </c>
      <c r="AE127" t="s">
        <v>98</v>
      </c>
      <c r="AF127" t="s">
        <v>77</v>
      </c>
      <c r="AG127" t="s">
        <v>328</v>
      </c>
      <c r="AH127" t="s">
        <v>1840</v>
      </c>
      <c r="AI127" t="s">
        <v>73</v>
      </c>
      <c r="AJ127" t="s">
        <v>54</v>
      </c>
      <c r="AK127" t="s">
        <v>1841</v>
      </c>
      <c r="AL127" t="s">
        <v>780</v>
      </c>
      <c r="AM127" t="s">
        <v>76</v>
      </c>
      <c r="AN127" t="s">
        <v>54</v>
      </c>
      <c r="AO127" t="s">
        <v>1841</v>
      </c>
      <c r="AP127" t="s">
        <v>780</v>
      </c>
      <c r="AQ127" t="s">
        <v>80</v>
      </c>
      <c r="AR127" t="s">
        <v>77</v>
      </c>
      <c r="AS127" t="s">
        <v>1842</v>
      </c>
      <c r="AT127" t="s">
        <v>1843</v>
      </c>
      <c r="AU127" t="s">
        <v>83</v>
      </c>
      <c r="AV127" t="s">
        <v>1844</v>
      </c>
      <c r="AW127" t="str">
        <f>"3404470"</f>
        <v>3404470</v>
      </c>
    </row>
    <row r="128" spans="1:49">
      <c r="A128" t="str">
        <f t="shared" si="5"/>
        <v>05</v>
      </c>
      <c r="B128" t="s">
        <v>1663</v>
      </c>
      <c r="C128" t="str">
        <f>"1420"</f>
        <v>1420</v>
      </c>
      <c r="D128" t="s">
        <v>1845</v>
      </c>
      <c r="F128" t="s">
        <v>65</v>
      </c>
      <c r="G128" t="s">
        <v>1430</v>
      </c>
      <c r="H128" t="s">
        <v>824</v>
      </c>
      <c r="I128" t="s">
        <v>57</v>
      </c>
      <c r="J128" s="2" t="s">
        <v>1846</v>
      </c>
      <c r="K128" t="s">
        <v>1847</v>
      </c>
      <c r="L128" t="s">
        <v>60</v>
      </c>
      <c r="M128" t="s">
        <v>1848</v>
      </c>
      <c r="N128" t="s">
        <v>62</v>
      </c>
      <c r="O128" t="str">
        <f>"08053"</f>
        <v>08053</v>
      </c>
      <c r="P128" t="s">
        <v>1847</v>
      </c>
      <c r="S128" t="s">
        <v>1848</v>
      </c>
      <c r="T128" t="s">
        <v>62</v>
      </c>
      <c r="U128" t="str">
        <f>"08053"</f>
        <v>08053</v>
      </c>
      <c r="W128" t="s">
        <v>1849</v>
      </c>
      <c r="X128" t="s">
        <v>77</v>
      </c>
      <c r="Y128" t="s">
        <v>328</v>
      </c>
      <c r="Z128" t="s">
        <v>1850</v>
      </c>
      <c r="AA128" t="s">
        <v>112</v>
      </c>
      <c r="AB128" t="s">
        <v>70</v>
      </c>
      <c r="AC128" t="s">
        <v>371</v>
      </c>
      <c r="AD128" t="s">
        <v>1851</v>
      </c>
      <c r="AE128" t="s">
        <v>98</v>
      </c>
      <c r="AF128" t="s">
        <v>70</v>
      </c>
      <c r="AG128" t="s">
        <v>1250</v>
      </c>
      <c r="AH128" t="s">
        <v>1852</v>
      </c>
      <c r="AI128" t="s">
        <v>73</v>
      </c>
      <c r="AJ128" t="s">
        <v>70</v>
      </c>
      <c r="AK128" t="s">
        <v>347</v>
      </c>
      <c r="AL128" t="s">
        <v>1853</v>
      </c>
      <c r="AM128" t="s">
        <v>76</v>
      </c>
      <c r="AN128" t="s">
        <v>77</v>
      </c>
      <c r="AO128" t="s">
        <v>373</v>
      </c>
      <c r="AP128" t="s">
        <v>1854</v>
      </c>
      <c r="AQ128" t="s">
        <v>80</v>
      </c>
      <c r="AR128" t="s">
        <v>77</v>
      </c>
      <c r="AS128" t="s">
        <v>328</v>
      </c>
      <c r="AT128" t="s">
        <v>1850</v>
      </c>
      <c r="AU128" t="s">
        <v>83</v>
      </c>
      <c r="AV128" t="s">
        <v>1855</v>
      </c>
      <c r="AW128" t="str">
        <f>"3404890"</f>
        <v>3404890</v>
      </c>
    </row>
    <row r="129" spans="1:49">
      <c r="A129" t="str">
        <f t="shared" si="5"/>
        <v>05</v>
      </c>
      <c r="B129" t="s">
        <v>1663</v>
      </c>
      <c r="C129" t="str">
        <f>"1520"</f>
        <v>1520</v>
      </c>
      <c r="D129" t="s">
        <v>1856</v>
      </c>
      <c r="F129" t="s">
        <v>54</v>
      </c>
      <c r="G129" t="s">
        <v>1346</v>
      </c>
      <c r="H129" t="s">
        <v>1857</v>
      </c>
      <c r="I129" t="s">
        <v>89</v>
      </c>
      <c r="J129" s="2" t="s">
        <v>1858</v>
      </c>
      <c r="K129" t="s">
        <v>1859</v>
      </c>
      <c r="L129" t="s">
        <v>60</v>
      </c>
      <c r="M129" t="s">
        <v>1860</v>
      </c>
      <c r="N129" t="s">
        <v>62</v>
      </c>
      <c r="O129" t="str">
        <f>"08518"</f>
        <v>08518</v>
      </c>
      <c r="P129" t="s">
        <v>1859</v>
      </c>
      <c r="S129" t="s">
        <v>1860</v>
      </c>
      <c r="T129" t="s">
        <v>62</v>
      </c>
      <c r="U129" t="str">
        <f>"08518"</f>
        <v>08518</v>
      </c>
      <c r="W129" t="s">
        <v>1861</v>
      </c>
      <c r="X129" t="s">
        <v>70</v>
      </c>
      <c r="Y129" t="s">
        <v>716</v>
      </c>
      <c r="Z129" t="s">
        <v>1862</v>
      </c>
      <c r="AA129" t="s">
        <v>68</v>
      </c>
      <c r="AB129" t="s">
        <v>77</v>
      </c>
      <c r="AC129" t="s">
        <v>287</v>
      </c>
      <c r="AD129" t="s">
        <v>1863</v>
      </c>
      <c r="AE129" t="s">
        <v>415</v>
      </c>
      <c r="AF129" t="s">
        <v>77</v>
      </c>
      <c r="AG129" t="s">
        <v>287</v>
      </c>
      <c r="AH129" t="s">
        <v>1863</v>
      </c>
      <c r="AI129" t="s">
        <v>73</v>
      </c>
      <c r="AJ129" t="s">
        <v>70</v>
      </c>
      <c r="AK129" t="s">
        <v>353</v>
      </c>
      <c r="AL129" t="s">
        <v>1864</v>
      </c>
      <c r="AM129" t="s">
        <v>76</v>
      </c>
      <c r="AN129" t="s">
        <v>77</v>
      </c>
      <c r="AO129" t="s">
        <v>1865</v>
      </c>
      <c r="AP129" t="s">
        <v>1866</v>
      </c>
      <c r="AQ129" t="s">
        <v>80</v>
      </c>
      <c r="AR129" t="s">
        <v>70</v>
      </c>
      <c r="AS129" t="s">
        <v>716</v>
      </c>
      <c r="AT129" t="s">
        <v>1862</v>
      </c>
      <c r="AU129" t="s">
        <v>83</v>
      </c>
      <c r="AV129" t="s">
        <v>1867</v>
      </c>
      <c r="AW129" t="str">
        <f>"3405220"</f>
        <v>3405220</v>
      </c>
    </row>
    <row r="130" spans="1:49">
      <c r="A130" t="str">
        <f t="shared" si="5"/>
        <v>05</v>
      </c>
      <c r="B130" t="s">
        <v>1663</v>
      </c>
      <c r="C130" t="str">
        <f>"1910"</f>
        <v>1910</v>
      </c>
      <c r="D130" t="s">
        <v>1868</v>
      </c>
      <c r="F130" t="s">
        <v>77</v>
      </c>
      <c r="G130" t="s">
        <v>358</v>
      </c>
      <c r="H130" t="s">
        <v>1869</v>
      </c>
      <c r="I130" t="s">
        <v>89</v>
      </c>
      <c r="J130" s="2" t="s">
        <v>1870</v>
      </c>
      <c r="K130" t="s">
        <v>1871</v>
      </c>
      <c r="L130" t="s">
        <v>60</v>
      </c>
      <c r="M130" t="s">
        <v>1872</v>
      </c>
      <c r="N130" t="s">
        <v>62</v>
      </c>
      <c r="O130" t="str">
        <f>"08036"</f>
        <v>08036</v>
      </c>
      <c r="P130" t="s">
        <v>1873</v>
      </c>
      <c r="S130" t="s">
        <v>1872</v>
      </c>
      <c r="T130" t="s">
        <v>62</v>
      </c>
      <c r="U130" t="str">
        <f>"08036"</f>
        <v>08036</v>
      </c>
      <c r="W130" t="s">
        <v>1874</v>
      </c>
      <c r="X130" t="s">
        <v>77</v>
      </c>
      <c r="Y130" t="s">
        <v>873</v>
      </c>
      <c r="Z130" t="s">
        <v>1746</v>
      </c>
      <c r="AA130" t="s">
        <v>135</v>
      </c>
      <c r="AB130" t="s">
        <v>70</v>
      </c>
      <c r="AC130" t="s">
        <v>71</v>
      </c>
      <c r="AD130" t="s">
        <v>1875</v>
      </c>
      <c r="AE130" t="s">
        <v>913</v>
      </c>
      <c r="AF130" t="s">
        <v>77</v>
      </c>
      <c r="AG130" t="s">
        <v>319</v>
      </c>
      <c r="AH130" t="s">
        <v>1876</v>
      </c>
      <c r="AI130" t="s">
        <v>73</v>
      </c>
      <c r="AJ130" t="s">
        <v>70</v>
      </c>
      <c r="AK130" t="s">
        <v>123</v>
      </c>
      <c r="AL130" t="s">
        <v>1877</v>
      </c>
      <c r="AM130" t="s">
        <v>76</v>
      </c>
      <c r="AN130" t="s">
        <v>77</v>
      </c>
      <c r="AO130" t="s">
        <v>136</v>
      </c>
      <c r="AP130" t="s">
        <v>222</v>
      </c>
      <c r="AQ130" t="s">
        <v>80</v>
      </c>
      <c r="AR130" t="s">
        <v>77</v>
      </c>
      <c r="AS130" t="s">
        <v>873</v>
      </c>
      <c r="AT130" t="s">
        <v>1746</v>
      </c>
      <c r="AU130" t="s">
        <v>83</v>
      </c>
      <c r="AV130" t="s">
        <v>1878</v>
      </c>
      <c r="AW130" t="str">
        <f>"3406420"</f>
        <v>3406420</v>
      </c>
    </row>
    <row r="131" spans="1:49">
      <c r="A131" t="str">
        <f t="shared" si="5"/>
        <v>05</v>
      </c>
      <c r="B131" t="s">
        <v>1663</v>
      </c>
      <c r="C131" t="str">
        <f>"2610"</f>
        <v>2610</v>
      </c>
      <c r="D131" t="s">
        <v>1879</v>
      </c>
      <c r="F131" t="s">
        <v>65</v>
      </c>
      <c r="G131" t="s">
        <v>1720</v>
      </c>
      <c r="H131" t="s">
        <v>1880</v>
      </c>
      <c r="I131" t="s">
        <v>57</v>
      </c>
      <c r="J131" s="2" t="s">
        <v>1881</v>
      </c>
      <c r="K131" t="s">
        <v>1882</v>
      </c>
      <c r="L131" t="s">
        <v>60</v>
      </c>
      <c r="M131" t="s">
        <v>1883</v>
      </c>
      <c r="N131" t="s">
        <v>62</v>
      </c>
      <c r="O131" t="str">
        <f>"08088"</f>
        <v>08088</v>
      </c>
      <c r="P131" t="s">
        <v>1882</v>
      </c>
      <c r="S131" t="s">
        <v>1883</v>
      </c>
      <c r="T131" t="s">
        <v>62</v>
      </c>
      <c r="U131" t="str">
        <f>"08088"</f>
        <v>08088</v>
      </c>
      <c r="W131" t="s">
        <v>1884</v>
      </c>
      <c r="X131" t="s">
        <v>54</v>
      </c>
      <c r="Y131" t="s">
        <v>1885</v>
      </c>
      <c r="Z131" t="s">
        <v>1886</v>
      </c>
      <c r="AA131" t="s">
        <v>135</v>
      </c>
      <c r="AB131" t="s">
        <v>70</v>
      </c>
      <c r="AC131" t="s">
        <v>233</v>
      </c>
      <c r="AD131" t="s">
        <v>1887</v>
      </c>
      <c r="AE131" t="s">
        <v>98</v>
      </c>
      <c r="AF131" t="s">
        <v>77</v>
      </c>
      <c r="AG131" t="s">
        <v>281</v>
      </c>
      <c r="AH131" t="s">
        <v>1888</v>
      </c>
      <c r="AI131" t="s">
        <v>73</v>
      </c>
      <c r="AJ131" t="s">
        <v>77</v>
      </c>
      <c r="AK131" t="s">
        <v>1232</v>
      </c>
      <c r="AL131" t="s">
        <v>1889</v>
      </c>
      <c r="AM131" t="s">
        <v>76</v>
      </c>
      <c r="AN131" t="s">
        <v>77</v>
      </c>
      <c r="AO131" t="s">
        <v>1890</v>
      </c>
      <c r="AP131" t="s">
        <v>1891</v>
      </c>
      <c r="AQ131" t="s">
        <v>80</v>
      </c>
      <c r="AR131" t="s">
        <v>77</v>
      </c>
      <c r="AS131" t="s">
        <v>1892</v>
      </c>
      <c r="AT131" t="s">
        <v>1893</v>
      </c>
      <c r="AU131" t="s">
        <v>83</v>
      </c>
      <c r="AV131" t="s">
        <v>1894</v>
      </c>
      <c r="AW131" t="str">
        <f>"3408490"</f>
        <v>3408490</v>
      </c>
    </row>
    <row r="132" spans="1:49">
      <c r="A132" t="str">
        <f t="shared" si="5"/>
        <v>05</v>
      </c>
      <c r="B132" t="s">
        <v>1663</v>
      </c>
      <c r="C132" t="str">
        <f>"2850"</f>
        <v>2850</v>
      </c>
      <c r="D132" t="s">
        <v>1895</v>
      </c>
      <c r="G132" t="s">
        <v>358</v>
      </c>
      <c r="H132" t="s">
        <v>1896</v>
      </c>
      <c r="I132" t="s">
        <v>89</v>
      </c>
      <c r="J132" s="2" t="s">
        <v>1897</v>
      </c>
      <c r="K132" t="s">
        <v>1898</v>
      </c>
      <c r="L132" t="s">
        <v>60</v>
      </c>
      <c r="M132" t="s">
        <v>1899</v>
      </c>
      <c r="N132" t="s">
        <v>62</v>
      </c>
      <c r="O132" t="str">
        <f>"08048"</f>
        <v>08048</v>
      </c>
      <c r="P132" t="s">
        <v>1898</v>
      </c>
      <c r="S132" t="s">
        <v>1899</v>
      </c>
      <c r="T132" t="s">
        <v>62</v>
      </c>
      <c r="U132" t="str">
        <f>"08048"</f>
        <v>08048</v>
      </c>
      <c r="W132" t="s">
        <v>1900</v>
      </c>
      <c r="Y132" t="s">
        <v>404</v>
      </c>
      <c r="Z132" t="s">
        <v>1901</v>
      </c>
      <c r="AA132" t="s">
        <v>135</v>
      </c>
      <c r="AC132" t="s">
        <v>1902</v>
      </c>
      <c r="AD132" t="s">
        <v>1903</v>
      </c>
      <c r="AE132" t="s">
        <v>69</v>
      </c>
      <c r="AG132" t="s">
        <v>251</v>
      </c>
      <c r="AH132" t="s">
        <v>1904</v>
      </c>
      <c r="AI132" t="s">
        <v>73</v>
      </c>
      <c r="AK132" t="s">
        <v>120</v>
      </c>
      <c r="AL132" t="s">
        <v>1905</v>
      </c>
      <c r="AM132" t="s">
        <v>76</v>
      </c>
      <c r="AO132" t="s">
        <v>1906</v>
      </c>
      <c r="AP132" t="s">
        <v>183</v>
      </c>
      <c r="AQ132" t="s">
        <v>80</v>
      </c>
      <c r="AS132" t="s">
        <v>1907</v>
      </c>
      <c r="AT132" t="s">
        <v>1896</v>
      </c>
      <c r="AU132" t="s">
        <v>83</v>
      </c>
      <c r="AV132" t="s">
        <v>1908</v>
      </c>
      <c r="AW132" t="str">
        <f>"3409180"</f>
        <v>3409180</v>
      </c>
    </row>
    <row r="133" spans="1:49">
      <c r="A133" t="str">
        <f t="shared" si="5"/>
        <v>05</v>
      </c>
      <c r="B133" t="s">
        <v>1663</v>
      </c>
      <c r="C133" t="str">
        <f>"2960"</f>
        <v>2960</v>
      </c>
      <c r="D133" t="s">
        <v>1909</v>
      </c>
      <c r="G133" t="s">
        <v>1910</v>
      </c>
      <c r="H133" t="s">
        <v>1911</v>
      </c>
      <c r="I133" t="s">
        <v>89</v>
      </c>
      <c r="J133" s="2" t="s">
        <v>1912</v>
      </c>
      <c r="K133" t="s">
        <v>1913</v>
      </c>
      <c r="L133" t="s">
        <v>60</v>
      </c>
      <c r="M133" t="s">
        <v>1914</v>
      </c>
      <c r="N133" t="s">
        <v>62</v>
      </c>
      <c r="O133" t="str">
        <f>"08022"</f>
        <v>08022</v>
      </c>
      <c r="P133" t="s">
        <v>1913</v>
      </c>
      <c r="S133" t="s">
        <v>1914</v>
      </c>
      <c r="T133" t="s">
        <v>62</v>
      </c>
      <c r="U133" t="str">
        <f>"08022"</f>
        <v>08022</v>
      </c>
      <c r="W133" t="s">
        <v>1915</v>
      </c>
      <c r="Y133" t="s">
        <v>1250</v>
      </c>
      <c r="Z133" t="s">
        <v>1916</v>
      </c>
      <c r="AA133" t="s">
        <v>112</v>
      </c>
      <c r="AC133" t="s">
        <v>243</v>
      </c>
      <c r="AD133" t="s">
        <v>1917</v>
      </c>
      <c r="AE133" t="s">
        <v>913</v>
      </c>
      <c r="AG133" t="s">
        <v>1124</v>
      </c>
      <c r="AH133" t="s">
        <v>1918</v>
      </c>
      <c r="AI133" t="s">
        <v>73</v>
      </c>
      <c r="AK133" t="s">
        <v>170</v>
      </c>
      <c r="AL133" t="s">
        <v>1919</v>
      </c>
      <c r="AM133" t="s">
        <v>76</v>
      </c>
      <c r="AO133" t="s">
        <v>136</v>
      </c>
      <c r="AP133" t="s">
        <v>222</v>
      </c>
      <c r="AQ133" t="s">
        <v>80</v>
      </c>
      <c r="AS133" t="s">
        <v>170</v>
      </c>
      <c r="AT133" t="s">
        <v>1919</v>
      </c>
      <c r="AU133" t="s">
        <v>83</v>
      </c>
      <c r="AV133" t="s">
        <v>1920</v>
      </c>
      <c r="AW133" t="str">
        <f>"3409510"</f>
        <v>3409510</v>
      </c>
    </row>
    <row r="134" spans="1:49">
      <c r="A134" t="str">
        <f t="shared" si="5"/>
        <v>05</v>
      </c>
      <c r="B134" t="s">
        <v>1663</v>
      </c>
      <c r="C134" t="str">
        <f>"3010"</f>
        <v>3010</v>
      </c>
      <c r="D134" t="s">
        <v>1921</v>
      </c>
      <c r="F134" t="s">
        <v>54</v>
      </c>
      <c r="G134" t="s">
        <v>926</v>
      </c>
      <c r="H134" t="s">
        <v>860</v>
      </c>
      <c r="I134" t="s">
        <v>89</v>
      </c>
      <c r="J134" s="2" t="s">
        <v>1922</v>
      </c>
      <c r="K134" t="s">
        <v>1923</v>
      </c>
      <c r="L134" t="s">
        <v>60</v>
      </c>
      <c r="M134" t="s">
        <v>1924</v>
      </c>
      <c r="N134" t="s">
        <v>62</v>
      </c>
      <c r="O134" t="str">
        <f>"08052"</f>
        <v>08052</v>
      </c>
      <c r="P134" t="s">
        <v>1923</v>
      </c>
      <c r="S134" t="s">
        <v>1924</v>
      </c>
      <c r="T134" t="s">
        <v>62</v>
      </c>
      <c r="U134" t="str">
        <f>"08052"</f>
        <v>08052</v>
      </c>
      <c r="W134" t="s">
        <v>1925</v>
      </c>
      <c r="X134" t="s">
        <v>77</v>
      </c>
      <c r="Y134" t="s">
        <v>120</v>
      </c>
      <c r="Z134" t="s">
        <v>1926</v>
      </c>
      <c r="AA134" t="s">
        <v>135</v>
      </c>
      <c r="AB134" t="s">
        <v>65</v>
      </c>
      <c r="AC134" t="s">
        <v>711</v>
      </c>
      <c r="AD134" t="s">
        <v>1927</v>
      </c>
      <c r="AE134" t="s">
        <v>98</v>
      </c>
      <c r="AF134" t="s">
        <v>77</v>
      </c>
      <c r="AG134" t="s">
        <v>436</v>
      </c>
      <c r="AH134" t="s">
        <v>1928</v>
      </c>
      <c r="AI134" t="s">
        <v>73</v>
      </c>
      <c r="AJ134" t="s">
        <v>54</v>
      </c>
      <c r="AK134" t="s">
        <v>353</v>
      </c>
      <c r="AL134" t="s">
        <v>1929</v>
      </c>
      <c r="AM134" t="s">
        <v>76</v>
      </c>
      <c r="AN134" t="s">
        <v>77</v>
      </c>
      <c r="AO134" t="s">
        <v>436</v>
      </c>
      <c r="AP134" t="s">
        <v>1928</v>
      </c>
      <c r="AQ134" t="s">
        <v>80</v>
      </c>
      <c r="AR134" t="s">
        <v>54</v>
      </c>
      <c r="AS134" t="s">
        <v>926</v>
      </c>
      <c r="AT134" t="s">
        <v>860</v>
      </c>
      <c r="AU134" t="s">
        <v>83</v>
      </c>
      <c r="AV134" t="s">
        <v>1930</v>
      </c>
      <c r="AW134" t="str">
        <f>"3409660"</f>
        <v>3409660</v>
      </c>
    </row>
    <row r="135" spans="1:49">
      <c r="A135" t="str">
        <f t="shared" si="5"/>
        <v>05</v>
      </c>
      <c r="B135" t="s">
        <v>1663</v>
      </c>
      <c r="C135" t="str">
        <f>"3070"</f>
        <v>3070</v>
      </c>
      <c r="D135" t="s">
        <v>1931</v>
      </c>
      <c r="F135" t="s">
        <v>65</v>
      </c>
      <c r="G135" t="s">
        <v>166</v>
      </c>
      <c r="H135" t="s">
        <v>1932</v>
      </c>
      <c r="I135" t="s">
        <v>89</v>
      </c>
      <c r="J135" s="2" t="s">
        <v>1933</v>
      </c>
      <c r="K135" t="s">
        <v>1934</v>
      </c>
      <c r="L135" t="s">
        <v>60</v>
      </c>
      <c r="M135" t="s">
        <v>1935</v>
      </c>
      <c r="N135" t="s">
        <v>62</v>
      </c>
      <c r="O135" t="str">
        <f>"08055"</f>
        <v>08055</v>
      </c>
      <c r="P135" t="s">
        <v>1934</v>
      </c>
      <c r="S135" t="s">
        <v>1935</v>
      </c>
      <c r="T135" t="s">
        <v>62</v>
      </c>
      <c r="U135" t="str">
        <f>"08055"</f>
        <v>08055</v>
      </c>
      <c r="W135" t="s">
        <v>1936</v>
      </c>
      <c r="X135" t="s">
        <v>77</v>
      </c>
      <c r="Y135" t="s">
        <v>120</v>
      </c>
      <c r="Z135" t="s">
        <v>1937</v>
      </c>
      <c r="AA135" t="s">
        <v>135</v>
      </c>
      <c r="AB135" t="s">
        <v>54</v>
      </c>
      <c r="AC135" t="s">
        <v>155</v>
      </c>
      <c r="AD135" t="s">
        <v>1938</v>
      </c>
      <c r="AE135" t="s">
        <v>98</v>
      </c>
      <c r="AF135" t="s">
        <v>54</v>
      </c>
      <c r="AG135" t="s">
        <v>155</v>
      </c>
      <c r="AH135" t="s">
        <v>1938</v>
      </c>
      <c r="AI135" t="s">
        <v>73</v>
      </c>
      <c r="AJ135" t="s">
        <v>54</v>
      </c>
      <c r="AK135" t="s">
        <v>155</v>
      </c>
      <c r="AL135" t="s">
        <v>1938</v>
      </c>
      <c r="AM135" t="s">
        <v>76</v>
      </c>
      <c r="AR135" t="s">
        <v>77</v>
      </c>
      <c r="AS135" t="s">
        <v>1939</v>
      </c>
      <c r="AT135" t="s">
        <v>1940</v>
      </c>
      <c r="AU135" t="s">
        <v>83</v>
      </c>
      <c r="AV135" t="s">
        <v>1941</v>
      </c>
      <c r="AW135" t="str">
        <f>"3409840"</f>
        <v>3409840</v>
      </c>
    </row>
    <row r="136" spans="1:49">
      <c r="A136" t="str">
        <f t="shared" si="5"/>
        <v>05</v>
      </c>
      <c r="B136" t="s">
        <v>1663</v>
      </c>
      <c r="C136" t="str">
        <f>"3080"</f>
        <v>3080</v>
      </c>
      <c r="D136" t="s">
        <v>1942</v>
      </c>
      <c r="F136" t="s">
        <v>65</v>
      </c>
      <c r="G136" t="s">
        <v>358</v>
      </c>
      <c r="H136" t="s">
        <v>1943</v>
      </c>
      <c r="I136" t="s">
        <v>89</v>
      </c>
      <c r="J136" s="2" t="s">
        <v>1944</v>
      </c>
      <c r="K136" t="s">
        <v>1945</v>
      </c>
      <c r="L136" t="s">
        <v>60</v>
      </c>
      <c r="M136" t="s">
        <v>1946</v>
      </c>
      <c r="N136" t="s">
        <v>62</v>
      </c>
      <c r="O136" t="s">
        <v>1947</v>
      </c>
      <c r="P136" t="s">
        <v>1945</v>
      </c>
      <c r="S136" t="s">
        <v>1946</v>
      </c>
      <c r="T136" t="s">
        <v>62</v>
      </c>
      <c r="U136" t="str">
        <f>"08055"</f>
        <v>08055</v>
      </c>
      <c r="V136" t="str">
        <f>"2371"</f>
        <v>2371</v>
      </c>
      <c r="W136" t="s">
        <v>1948</v>
      </c>
      <c r="X136" t="s">
        <v>54</v>
      </c>
      <c r="Y136" t="s">
        <v>1117</v>
      </c>
      <c r="Z136" t="s">
        <v>1949</v>
      </c>
      <c r="AA136" t="s">
        <v>68</v>
      </c>
      <c r="AB136" t="s">
        <v>65</v>
      </c>
      <c r="AC136" t="s">
        <v>1950</v>
      </c>
      <c r="AD136" t="s">
        <v>1951</v>
      </c>
      <c r="AE136" t="s">
        <v>115</v>
      </c>
      <c r="AF136" t="s">
        <v>65</v>
      </c>
      <c r="AG136" t="s">
        <v>1950</v>
      </c>
      <c r="AH136" t="s">
        <v>1951</v>
      </c>
      <c r="AI136" t="s">
        <v>73</v>
      </c>
      <c r="AJ136" t="s">
        <v>77</v>
      </c>
      <c r="AK136" t="s">
        <v>404</v>
      </c>
      <c r="AL136" t="s">
        <v>1952</v>
      </c>
      <c r="AM136" t="s">
        <v>76</v>
      </c>
      <c r="AN136" t="s">
        <v>77</v>
      </c>
      <c r="AO136" t="s">
        <v>1953</v>
      </c>
      <c r="AP136" t="s">
        <v>1954</v>
      </c>
      <c r="AQ136" t="s">
        <v>80</v>
      </c>
      <c r="AR136" t="s">
        <v>65</v>
      </c>
      <c r="AS136" t="s">
        <v>358</v>
      </c>
      <c r="AT136" t="s">
        <v>1943</v>
      </c>
      <c r="AU136" t="s">
        <v>83</v>
      </c>
      <c r="AV136" t="s">
        <v>1955</v>
      </c>
      <c r="AW136" t="str">
        <f>"3409870"</f>
        <v>3409870</v>
      </c>
    </row>
    <row r="137" spans="1:49">
      <c r="A137" t="str">
        <f t="shared" si="5"/>
        <v>05</v>
      </c>
      <c r="B137" t="s">
        <v>1663</v>
      </c>
      <c r="C137" t="str">
        <f>"3360"</f>
        <v>3360</v>
      </c>
      <c r="D137" t="s">
        <v>1956</v>
      </c>
      <c r="F137" t="s">
        <v>65</v>
      </c>
      <c r="G137" t="s">
        <v>436</v>
      </c>
      <c r="H137" t="s">
        <v>1957</v>
      </c>
      <c r="I137" t="s">
        <v>89</v>
      </c>
      <c r="J137" s="2" t="s">
        <v>1958</v>
      </c>
      <c r="K137" t="s">
        <v>1959</v>
      </c>
      <c r="L137" t="s">
        <v>60</v>
      </c>
      <c r="M137" t="s">
        <v>1960</v>
      </c>
      <c r="N137" t="s">
        <v>62</v>
      </c>
      <c r="O137" t="str">
        <f>"08057"</f>
        <v>08057</v>
      </c>
      <c r="P137" t="s">
        <v>1959</v>
      </c>
      <c r="S137" t="s">
        <v>1960</v>
      </c>
      <c r="T137" t="s">
        <v>62</v>
      </c>
      <c r="U137" t="str">
        <f>"08057"</f>
        <v>08057</v>
      </c>
      <c r="W137" t="s">
        <v>1961</v>
      </c>
      <c r="X137" t="s">
        <v>77</v>
      </c>
      <c r="Y137" t="s">
        <v>182</v>
      </c>
      <c r="Z137" t="s">
        <v>1962</v>
      </c>
      <c r="AA137" t="s">
        <v>135</v>
      </c>
      <c r="AB137" t="s">
        <v>65</v>
      </c>
      <c r="AC137" t="s">
        <v>190</v>
      </c>
      <c r="AD137" t="s">
        <v>1963</v>
      </c>
      <c r="AE137" t="s">
        <v>98</v>
      </c>
      <c r="AF137" t="s">
        <v>77</v>
      </c>
      <c r="AG137" t="s">
        <v>120</v>
      </c>
      <c r="AH137" t="s">
        <v>1964</v>
      </c>
      <c r="AI137" t="s">
        <v>73</v>
      </c>
      <c r="AJ137" t="s">
        <v>54</v>
      </c>
      <c r="AK137" t="s">
        <v>771</v>
      </c>
      <c r="AL137" t="s">
        <v>1965</v>
      </c>
      <c r="AM137" t="s">
        <v>76</v>
      </c>
      <c r="AN137" t="s">
        <v>77</v>
      </c>
      <c r="AO137" t="s">
        <v>338</v>
      </c>
      <c r="AP137" t="s">
        <v>1966</v>
      </c>
      <c r="AQ137" t="s">
        <v>80</v>
      </c>
      <c r="AR137" t="s">
        <v>77</v>
      </c>
      <c r="AS137" t="s">
        <v>212</v>
      </c>
      <c r="AT137" t="s">
        <v>1967</v>
      </c>
      <c r="AU137" t="s">
        <v>83</v>
      </c>
      <c r="AV137" t="s">
        <v>1968</v>
      </c>
      <c r="AW137" t="str">
        <f>"3410710"</f>
        <v>3410710</v>
      </c>
    </row>
    <row r="138" spans="1:49">
      <c r="A138" t="str">
        <f t="shared" si="5"/>
        <v>05</v>
      </c>
      <c r="B138" t="s">
        <v>1663</v>
      </c>
      <c r="C138" t="str">
        <f>"3430"</f>
        <v>3430</v>
      </c>
      <c r="D138" t="s">
        <v>1969</v>
      </c>
      <c r="F138" t="s">
        <v>77</v>
      </c>
      <c r="G138" t="s">
        <v>873</v>
      </c>
      <c r="H138" t="s">
        <v>1970</v>
      </c>
      <c r="I138" t="s">
        <v>89</v>
      </c>
      <c r="J138" s="2" t="s">
        <v>1971</v>
      </c>
      <c r="K138" t="s">
        <v>1972</v>
      </c>
      <c r="L138" t="s">
        <v>60</v>
      </c>
      <c r="M138" t="s">
        <v>1973</v>
      </c>
      <c r="N138" t="s">
        <v>62</v>
      </c>
      <c r="O138" t="str">
        <f>"08060"</f>
        <v>08060</v>
      </c>
      <c r="P138" t="s">
        <v>1972</v>
      </c>
      <c r="S138" t="s">
        <v>1973</v>
      </c>
      <c r="T138" t="s">
        <v>62</v>
      </c>
      <c r="U138" t="str">
        <f>"08060"</f>
        <v>08060</v>
      </c>
      <c r="W138" t="s">
        <v>1974</v>
      </c>
      <c r="X138" t="s">
        <v>54</v>
      </c>
      <c r="Y138" t="s">
        <v>1975</v>
      </c>
      <c r="Z138" t="s">
        <v>1976</v>
      </c>
      <c r="AA138" t="s">
        <v>68</v>
      </c>
      <c r="AB138" t="s">
        <v>54</v>
      </c>
      <c r="AC138" t="s">
        <v>1977</v>
      </c>
      <c r="AD138" t="s">
        <v>1978</v>
      </c>
      <c r="AE138" t="s">
        <v>98</v>
      </c>
      <c r="AF138" t="s">
        <v>77</v>
      </c>
      <c r="AG138" t="s">
        <v>87</v>
      </c>
      <c r="AH138" t="s">
        <v>1979</v>
      </c>
      <c r="AI138" t="s">
        <v>73</v>
      </c>
      <c r="AJ138" t="s">
        <v>54</v>
      </c>
      <c r="AK138" t="s">
        <v>1980</v>
      </c>
      <c r="AL138" t="s">
        <v>1981</v>
      </c>
      <c r="AM138" t="s">
        <v>76</v>
      </c>
      <c r="AR138" t="s">
        <v>77</v>
      </c>
      <c r="AS138" t="s">
        <v>873</v>
      </c>
      <c r="AT138" t="s">
        <v>1970</v>
      </c>
      <c r="AU138" t="s">
        <v>83</v>
      </c>
      <c r="AV138" t="s">
        <v>1982</v>
      </c>
      <c r="AW138" t="str">
        <f>"3410920"</f>
        <v>3410920</v>
      </c>
    </row>
    <row r="139" spans="1:49">
      <c r="A139" t="str">
        <f t="shared" si="5"/>
        <v>05</v>
      </c>
      <c r="B139" t="s">
        <v>1663</v>
      </c>
      <c r="C139" t="str">
        <f>"3440"</f>
        <v>3440</v>
      </c>
      <c r="D139" t="s">
        <v>1983</v>
      </c>
      <c r="F139" t="s">
        <v>77</v>
      </c>
      <c r="G139" t="s">
        <v>1690</v>
      </c>
      <c r="H139" t="s">
        <v>1984</v>
      </c>
      <c r="I139" t="s">
        <v>89</v>
      </c>
      <c r="J139" s="2" t="s">
        <v>1985</v>
      </c>
      <c r="K139" t="s">
        <v>1986</v>
      </c>
      <c r="L139" t="s">
        <v>60</v>
      </c>
      <c r="M139" t="s">
        <v>1987</v>
      </c>
      <c r="N139" t="s">
        <v>62</v>
      </c>
      <c r="O139" t="str">
        <f>"08075"</f>
        <v>08075</v>
      </c>
      <c r="P139" t="s">
        <v>1986</v>
      </c>
      <c r="S139" t="s">
        <v>1987</v>
      </c>
      <c r="T139" t="s">
        <v>62</v>
      </c>
      <c r="U139" t="str">
        <f>"08075"</f>
        <v>08075</v>
      </c>
      <c r="W139" t="s">
        <v>1988</v>
      </c>
      <c r="X139" t="s">
        <v>77</v>
      </c>
      <c r="Y139" t="s">
        <v>873</v>
      </c>
      <c r="Z139" t="s">
        <v>1989</v>
      </c>
      <c r="AA139" t="s">
        <v>112</v>
      </c>
      <c r="AB139" t="s">
        <v>65</v>
      </c>
      <c r="AC139" t="s">
        <v>1017</v>
      </c>
      <c r="AD139" t="s">
        <v>1990</v>
      </c>
      <c r="AE139" t="s">
        <v>415</v>
      </c>
      <c r="AF139" t="s">
        <v>70</v>
      </c>
      <c r="AG139" t="s">
        <v>649</v>
      </c>
      <c r="AH139" t="s">
        <v>1991</v>
      </c>
      <c r="AI139" t="s">
        <v>73</v>
      </c>
      <c r="AJ139" t="s">
        <v>70</v>
      </c>
      <c r="AK139" t="s">
        <v>649</v>
      </c>
      <c r="AL139" t="s">
        <v>1991</v>
      </c>
      <c r="AM139" t="s">
        <v>76</v>
      </c>
      <c r="AN139" t="s">
        <v>77</v>
      </c>
      <c r="AO139" t="s">
        <v>1992</v>
      </c>
      <c r="AP139" t="s">
        <v>1993</v>
      </c>
      <c r="AQ139" t="s">
        <v>80</v>
      </c>
      <c r="AR139" t="s">
        <v>77</v>
      </c>
      <c r="AS139" t="s">
        <v>873</v>
      </c>
      <c r="AT139" t="s">
        <v>1989</v>
      </c>
      <c r="AU139" t="s">
        <v>83</v>
      </c>
      <c r="AV139" t="s">
        <v>1994</v>
      </c>
      <c r="AW139" t="str">
        <f>"3410950"</f>
        <v>3410950</v>
      </c>
    </row>
    <row r="140" spans="1:49">
      <c r="A140" t="str">
        <f t="shared" si="5"/>
        <v>05</v>
      </c>
      <c r="B140" t="s">
        <v>1663</v>
      </c>
      <c r="C140" t="str">
        <f>"3540"</f>
        <v>3540</v>
      </c>
      <c r="D140" t="s">
        <v>1995</v>
      </c>
      <c r="F140" t="s">
        <v>65</v>
      </c>
      <c r="G140" t="s">
        <v>436</v>
      </c>
      <c r="H140" t="s">
        <v>1996</v>
      </c>
      <c r="I140" t="s">
        <v>89</v>
      </c>
      <c r="J140" s="2" t="s">
        <v>1997</v>
      </c>
      <c r="K140" t="s">
        <v>1998</v>
      </c>
      <c r="L140" t="s">
        <v>60</v>
      </c>
      <c r="M140" t="s">
        <v>1999</v>
      </c>
      <c r="N140" t="s">
        <v>62</v>
      </c>
      <c r="O140" t="str">
        <f>"08562"</f>
        <v>08562</v>
      </c>
      <c r="P140" t="s">
        <v>1998</v>
      </c>
      <c r="S140" t="s">
        <v>1999</v>
      </c>
      <c r="T140" t="s">
        <v>62</v>
      </c>
      <c r="U140" t="str">
        <f>"08562"</f>
        <v>08562</v>
      </c>
      <c r="W140" t="s">
        <v>2000</v>
      </c>
      <c r="X140" t="s">
        <v>77</v>
      </c>
      <c r="Y140" t="s">
        <v>2001</v>
      </c>
      <c r="Z140" t="s">
        <v>1676</v>
      </c>
      <c r="AA140" t="s">
        <v>135</v>
      </c>
      <c r="AB140" t="s">
        <v>77</v>
      </c>
      <c r="AC140" t="s">
        <v>190</v>
      </c>
      <c r="AD140" t="s">
        <v>2002</v>
      </c>
      <c r="AE140" t="s">
        <v>181</v>
      </c>
      <c r="AF140" t="s">
        <v>77</v>
      </c>
      <c r="AG140" t="s">
        <v>539</v>
      </c>
      <c r="AH140" t="s">
        <v>2003</v>
      </c>
      <c r="AI140" t="s">
        <v>73</v>
      </c>
      <c r="AJ140" t="s">
        <v>77</v>
      </c>
      <c r="AK140" t="s">
        <v>190</v>
      </c>
      <c r="AL140" t="s">
        <v>2002</v>
      </c>
      <c r="AM140" t="s">
        <v>76</v>
      </c>
      <c r="AN140" t="s">
        <v>77</v>
      </c>
      <c r="AO140" t="s">
        <v>328</v>
      </c>
      <c r="AP140" t="s">
        <v>2004</v>
      </c>
      <c r="AQ140" t="s">
        <v>80</v>
      </c>
      <c r="AR140" t="s">
        <v>65</v>
      </c>
      <c r="AS140" t="s">
        <v>436</v>
      </c>
      <c r="AT140" t="s">
        <v>1996</v>
      </c>
      <c r="AU140" t="s">
        <v>83</v>
      </c>
      <c r="AV140" t="s">
        <v>2005</v>
      </c>
      <c r="AW140" t="str">
        <f>"3411250"</f>
        <v>3411250</v>
      </c>
    </row>
    <row r="141" spans="1:49">
      <c r="A141" t="str">
        <f t="shared" si="5"/>
        <v>05</v>
      </c>
      <c r="B141" t="s">
        <v>1663</v>
      </c>
      <c r="C141" t="str">
        <f>"3650"</f>
        <v>3650</v>
      </c>
      <c r="D141" t="s">
        <v>2006</v>
      </c>
      <c r="F141" t="s">
        <v>54</v>
      </c>
      <c r="G141" t="s">
        <v>1706</v>
      </c>
      <c r="H141" t="s">
        <v>2007</v>
      </c>
      <c r="I141" t="s">
        <v>89</v>
      </c>
      <c r="J141" s="2" t="s">
        <v>2008</v>
      </c>
      <c r="K141" t="s">
        <v>2009</v>
      </c>
      <c r="L141" t="s">
        <v>60</v>
      </c>
      <c r="M141" t="s">
        <v>1999</v>
      </c>
      <c r="N141" t="s">
        <v>62</v>
      </c>
      <c r="O141" t="s">
        <v>2010</v>
      </c>
      <c r="P141" t="s">
        <v>2009</v>
      </c>
      <c r="S141" t="s">
        <v>1999</v>
      </c>
      <c r="T141" t="s">
        <v>62</v>
      </c>
      <c r="U141" t="str">
        <f>"08562"</f>
        <v>08562</v>
      </c>
      <c r="V141" t="str">
        <f>"2127"</f>
        <v>2127</v>
      </c>
      <c r="W141" t="s">
        <v>2011</v>
      </c>
      <c r="X141" t="s">
        <v>70</v>
      </c>
      <c r="Y141" t="s">
        <v>2012</v>
      </c>
      <c r="Z141" t="s">
        <v>594</v>
      </c>
      <c r="AA141" t="s">
        <v>135</v>
      </c>
      <c r="AB141" t="s">
        <v>54</v>
      </c>
      <c r="AC141" t="s">
        <v>155</v>
      </c>
      <c r="AD141" t="s">
        <v>2013</v>
      </c>
      <c r="AE141" t="s">
        <v>587</v>
      </c>
      <c r="AF141" t="s">
        <v>77</v>
      </c>
      <c r="AG141" t="s">
        <v>2014</v>
      </c>
      <c r="AH141" t="s">
        <v>1423</v>
      </c>
      <c r="AI141" t="s">
        <v>73</v>
      </c>
      <c r="AJ141" t="s">
        <v>54</v>
      </c>
      <c r="AK141" t="s">
        <v>2015</v>
      </c>
      <c r="AL141" t="s">
        <v>2016</v>
      </c>
      <c r="AM141" t="s">
        <v>76</v>
      </c>
      <c r="AN141" t="s">
        <v>77</v>
      </c>
      <c r="AO141" t="s">
        <v>136</v>
      </c>
      <c r="AP141" t="s">
        <v>222</v>
      </c>
      <c r="AQ141" t="s">
        <v>80</v>
      </c>
      <c r="AR141" t="s">
        <v>77</v>
      </c>
      <c r="AS141" t="s">
        <v>223</v>
      </c>
      <c r="AT141" t="s">
        <v>2017</v>
      </c>
      <c r="AU141" t="s">
        <v>83</v>
      </c>
      <c r="AV141" t="s">
        <v>2018</v>
      </c>
      <c r="AW141" t="str">
        <f>"3411580"</f>
        <v>3411580</v>
      </c>
    </row>
    <row r="142" spans="1:49">
      <c r="A142" t="str">
        <f t="shared" si="5"/>
        <v>05</v>
      </c>
      <c r="B142" t="s">
        <v>1663</v>
      </c>
      <c r="C142" t="str">
        <f>"3690"</f>
        <v>3690</v>
      </c>
      <c r="D142" t="s">
        <v>2019</v>
      </c>
      <c r="F142" t="s">
        <v>65</v>
      </c>
      <c r="G142" t="s">
        <v>182</v>
      </c>
      <c r="H142" t="s">
        <v>2020</v>
      </c>
      <c r="I142" t="s">
        <v>57</v>
      </c>
      <c r="J142" s="2" t="s">
        <v>2021</v>
      </c>
      <c r="K142" t="s">
        <v>2022</v>
      </c>
      <c r="L142" t="s">
        <v>60</v>
      </c>
      <c r="M142" t="s">
        <v>1914</v>
      </c>
      <c r="N142" t="s">
        <v>62</v>
      </c>
      <c r="O142" t="str">
        <f>"08022"</f>
        <v>08022</v>
      </c>
      <c r="P142" t="s">
        <v>2022</v>
      </c>
      <c r="S142" t="s">
        <v>1914</v>
      </c>
      <c r="T142" t="s">
        <v>62</v>
      </c>
      <c r="U142" t="str">
        <f>"08022"</f>
        <v>08022</v>
      </c>
      <c r="W142" t="s">
        <v>2023</v>
      </c>
      <c r="X142" t="s">
        <v>77</v>
      </c>
      <c r="Y142" t="s">
        <v>223</v>
      </c>
      <c r="Z142" t="s">
        <v>2024</v>
      </c>
      <c r="AA142" t="s">
        <v>135</v>
      </c>
      <c r="AB142" t="s">
        <v>54</v>
      </c>
      <c r="AC142" t="s">
        <v>2025</v>
      </c>
      <c r="AD142" t="s">
        <v>2026</v>
      </c>
      <c r="AE142" t="s">
        <v>913</v>
      </c>
      <c r="AF142" t="s">
        <v>54</v>
      </c>
      <c r="AG142" t="s">
        <v>2027</v>
      </c>
      <c r="AH142" t="s">
        <v>2028</v>
      </c>
      <c r="AI142" t="s">
        <v>73</v>
      </c>
      <c r="AJ142" t="s">
        <v>70</v>
      </c>
      <c r="AK142" t="s">
        <v>2012</v>
      </c>
      <c r="AL142" t="s">
        <v>2029</v>
      </c>
      <c r="AM142" t="s">
        <v>76</v>
      </c>
      <c r="AN142" t="s">
        <v>77</v>
      </c>
      <c r="AO142" t="s">
        <v>136</v>
      </c>
      <c r="AP142" t="s">
        <v>222</v>
      </c>
      <c r="AQ142" t="s">
        <v>80</v>
      </c>
      <c r="AR142" t="s">
        <v>77</v>
      </c>
      <c r="AS142" t="s">
        <v>281</v>
      </c>
      <c r="AT142" t="s">
        <v>2030</v>
      </c>
      <c r="AU142" t="s">
        <v>83</v>
      </c>
      <c r="AV142" t="s">
        <v>2031</v>
      </c>
      <c r="AW142" t="str">
        <f>"3411700"</f>
        <v>3411700</v>
      </c>
    </row>
    <row r="143" spans="1:49">
      <c r="A143" t="str">
        <f t="shared" si="5"/>
        <v>05</v>
      </c>
      <c r="B143" t="s">
        <v>1663</v>
      </c>
      <c r="C143" t="str">
        <f>"3920"</f>
        <v>3920</v>
      </c>
      <c r="D143" t="s">
        <v>2032</v>
      </c>
      <c r="F143" t="s">
        <v>65</v>
      </c>
      <c r="G143" t="s">
        <v>212</v>
      </c>
      <c r="H143" t="s">
        <v>2033</v>
      </c>
      <c r="I143" t="s">
        <v>89</v>
      </c>
      <c r="J143" s="2" t="s">
        <v>2034</v>
      </c>
      <c r="K143" t="s">
        <v>2035</v>
      </c>
      <c r="L143" t="s">
        <v>60</v>
      </c>
      <c r="M143" t="s">
        <v>2036</v>
      </c>
      <c r="N143" t="s">
        <v>62</v>
      </c>
      <c r="O143" t="str">
        <f>"08065"</f>
        <v>08065</v>
      </c>
      <c r="P143" t="s">
        <v>2035</v>
      </c>
      <c r="S143" t="s">
        <v>2036</v>
      </c>
      <c r="T143" t="s">
        <v>62</v>
      </c>
      <c r="U143" t="str">
        <f>"08065"</f>
        <v>08065</v>
      </c>
      <c r="W143" t="s">
        <v>2037</v>
      </c>
      <c r="Y143" t="s">
        <v>273</v>
      </c>
      <c r="Z143" t="s">
        <v>2038</v>
      </c>
      <c r="AA143" t="s">
        <v>135</v>
      </c>
      <c r="AC143" t="s">
        <v>2039</v>
      </c>
      <c r="AD143" t="s">
        <v>2040</v>
      </c>
      <c r="AE143" t="s">
        <v>69</v>
      </c>
      <c r="AG143" t="s">
        <v>892</v>
      </c>
      <c r="AH143" t="s">
        <v>2041</v>
      </c>
      <c r="AI143" t="s">
        <v>73</v>
      </c>
      <c r="AK143" t="s">
        <v>1124</v>
      </c>
      <c r="AL143" t="s">
        <v>2042</v>
      </c>
      <c r="AM143" t="s">
        <v>76</v>
      </c>
      <c r="AO143" t="s">
        <v>190</v>
      </c>
      <c r="AP143" t="s">
        <v>2043</v>
      </c>
      <c r="AQ143" t="s">
        <v>80</v>
      </c>
      <c r="AR143" t="s">
        <v>65</v>
      </c>
      <c r="AS143" t="s">
        <v>212</v>
      </c>
      <c r="AT143" t="s">
        <v>2033</v>
      </c>
      <c r="AU143" t="s">
        <v>83</v>
      </c>
      <c r="AV143" t="s">
        <v>2044</v>
      </c>
      <c r="AW143" t="str">
        <f>"3412390"</f>
        <v>3412390</v>
      </c>
    </row>
    <row r="144" spans="1:49">
      <c r="A144" t="str">
        <f t="shared" si="5"/>
        <v>05</v>
      </c>
      <c r="B144" t="s">
        <v>1663</v>
      </c>
      <c r="C144" t="str">
        <f>"4050"</f>
        <v>4050</v>
      </c>
      <c r="D144" t="s">
        <v>2045</v>
      </c>
      <c r="G144" t="s">
        <v>338</v>
      </c>
      <c r="H144" t="s">
        <v>2046</v>
      </c>
      <c r="I144" t="s">
        <v>89</v>
      </c>
      <c r="J144" s="2" t="s">
        <v>2047</v>
      </c>
      <c r="K144" t="s">
        <v>2048</v>
      </c>
      <c r="L144" t="s">
        <v>60</v>
      </c>
      <c r="M144" t="s">
        <v>956</v>
      </c>
      <c r="N144" t="s">
        <v>62</v>
      </c>
      <c r="O144" t="str">
        <f>"08068"</f>
        <v>08068</v>
      </c>
      <c r="P144" t="s">
        <v>2048</v>
      </c>
      <c r="S144" t="s">
        <v>956</v>
      </c>
      <c r="T144" t="s">
        <v>62</v>
      </c>
      <c r="U144" t="str">
        <f>"08068"</f>
        <v>08068</v>
      </c>
      <c r="W144" t="s">
        <v>2049</v>
      </c>
      <c r="Y144" t="s">
        <v>539</v>
      </c>
      <c r="Z144" t="s">
        <v>824</v>
      </c>
      <c r="AA144" t="s">
        <v>135</v>
      </c>
      <c r="AC144" t="s">
        <v>2050</v>
      </c>
      <c r="AD144" t="s">
        <v>2051</v>
      </c>
      <c r="AE144" t="s">
        <v>98</v>
      </c>
      <c r="AG144" t="s">
        <v>2052</v>
      </c>
      <c r="AH144" t="s">
        <v>1483</v>
      </c>
      <c r="AI144" t="s">
        <v>73</v>
      </c>
      <c r="AK144" t="s">
        <v>2052</v>
      </c>
      <c r="AL144" t="s">
        <v>1483</v>
      </c>
      <c r="AM144" t="s">
        <v>76</v>
      </c>
      <c r="AO144" t="s">
        <v>120</v>
      </c>
      <c r="AP144" t="s">
        <v>2053</v>
      </c>
      <c r="AQ144" t="s">
        <v>80</v>
      </c>
      <c r="AS144" t="s">
        <v>358</v>
      </c>
      <c r="AT144" t="s">
        <v>2054</v>
      </c>
      <c r="AU144" t="s">
        <v>83</v>
      </c>
      <c r="AV144" t="s">
        <v>2055</v>
      </c>
      <c r="AW144" t="str">
        <f>"3412810"</f>
        <v>3412810</v>
      </c>
    </row>
    <row r="145" spans="1:49">
      <c r="A145" t="str">
        <f t="shared" si="5"/>
        <v>05</v>
      </c>
      <c r="B145" t="s">
        <v>1663</v>
      </c>
      <c r="C145" t="str">
        <f>"4320"</f>
        <v>4320</v>
      </c>
      <c r="D145" t="s">
        <v>2056</v>
      </c>
      <c r="F145" t="s">
        <v>65</v>
      </c>
      <c r="G145" t="s">
        <v>287</v>
      </c>
      <c r="H145" t="s">
        <v>2057</v>
      </c>
      <c r="I145" t="s">
        <v>89</v>
      </c>
      <c r="J145" s="2" t="s">
        <v>2058</v>
      </c>
      <c r="K145" t="s">
        <v>2059</v>
      </c>
      <c r="L145" t="s">
        <v>60</v>
      </c>
      <c r="M145" t="s">
        <v>2060</v>
      </c>
      <c r="N145" t="s">
        <v>62</v>
      </c>
      <c r="O145" t="str">
        <f>"08060"</f>
        <v>08060</v>
      </c>
      <c r="P145" t="s">
        <v>2059</v>
      </c>
      <c r="S145" t="s">
        <v>2060</v>
      </c>
      <c r="T145" t="s">
        <v>62</v>
      </c>
      <c r="U145" t="str">
        <f>"08060"</f>
        <v>08060</v>
      </c>
      <c r="W145" t="s">
        <v>2061</v>
      </c>
      <c r="X145" t="s">
        <v>54</v>
      </c>
      <c r="Y145" t="s">
        <v>150</v>
      </c>
      <c r="Z145" t="s">
        <v>2062</v>
      </c>
      <c r="AA145" t="s">
        <v>68</v>
      </c>
      <c r="AB145" t="s">
        <v>54</v>
      </c>
      <c r="AC145" t="s">
        <v>649</v>
      </c>
      <c r="AD145" t="s">
        <v>1719</v>
      </c>
      <c r="AE145" t="s">
        <v>69</v>
      </c>
      <c r="AF145" t="s">
        <v>77</v>
      </c>
      <c r="AG145" t="s">
        <v>166</v>
      </c>
      <c r="AH145" t="s">
        <v>2063</v>
      </c>
      <c r="AI145" t="s">
        <v>73</v>
      </c>
      <c r="AJ145" t="s">
        <v>77</v>
      </c>
      <c r="AK145" t="s">
        <v>1842</v>
      </c>
      <c r="AL145" t="s">
        <v>2064</v>
      </c>
      <c r="AM145" t="s">
        <v>76</v>
      </c>
      <c r="AN145" t="s">
        <v>77</v>
      </c>
      <c r="AO145" t="s">
        <v>2065</v>
      </c>
      <c r="AP145" t="s">
        <v>2066</v>
      </c>
      <c r="AQ145" t="s">
        <v>80</v>
      </c>
      <c r="AR145" t="s">
        <v>77</v>
      </c>
      <c r="AS145" t="s">
        <v>166</v>
      </c>
      <c r="AT145" t="s">
        <v>2063</v>
      </c>
      <c r="AU145" t="s">
        <v>83</v>
      </c>
      <c r="AV145" t="s">
        <v>2067</v>
      </c>
      <c r="AW145" t="str">
        <f>"3413620"</f>
        <v>3413620</v>
      </c>
    </row>
    <row r="146" spans="1:49">
      <c r="A146" t="str">
        <f>"80"</f>
        <v>80</v>
      </c>
      <c r="B146" t="s">
        <v>1663</v>
      </c>
      <c r="C146" t="str">
        <f>"6026"</f>
        <v>6026</v>
      </c>
      <c r="D146" t="s">
        <v>2068</v>
      </c>
      <c r="E146" t="str">
        <f>"908"</f>
        <v>908</v>
      </c>
      <c r="F146" t="s">
        <v>70</v>
      </c>
      <c r="G146" t="s">
        <v>926</v>
      </c>
      <c r="H146" t="s">
        <v>1828</v>
      </c>
      <c r="I146" t="s">
        <v>57</v>
      </c>
      <c r="J146" s="2" t="s">
        <v>2069</v>
      </c>
      <c r="K146" t="s">
        <v>2070</v>
      </c>
      <c r="L146" t="s">
        <v>60</v>
      </c>
      <c r="M146" t="s">
        <v>2071</v>
      </c>
      <c r="N146" t="s">
        <v>62</v>
      </c>
      <c r="O146" t="str">
        <f>"08554"</f>
        <v>08554</v>
      </c>
      <c r="P146" t="s">
        <v>2070</v>
      </c>
      <c r="S146" t="s">
        <v>2071</v>
      </c>
      <c r="T146" t="s">
        <v>62</v>
      </c>
      <c r="U146" t="str">
        <f>"08554"</f>
        <v>08554</v>
      </c>
      <c r="W146" t="s">
        <v>2072</v>
      </c>
      <c r="X146" t="s">
        <v>70</v>
      </c>
      <c r="Y146" t="s">
        <v>1209</v>
      </c>
      <c r="Z146" t="s">
        <v>2073</v>
      </c>
      <c r="AA146" t="s">
        <v>112</v>
      </c>
      <c r="AB146" t="s">
        <v>70</v>
      </c>
      <c r="AC146" t="s">
        <v>926</v>
      </c>
      <c r="AD146" t="s">
        <v>1828</v>
      </c>
      <c r="AE146" t="s">
        <v>181</v>
      </c>
      <c r="AF146" t="s">
        <v>70</v>
      </c>
      <c r="AG146" t="s">
        <v>2074</v>
      </c>
      <c r="AH146" t="s">
        <v>2073</v>
      </c>
      <c r="AI146" t="s">
        <v>73</v>
      </c>
      <c r="AJ146" t="s">
        <v>70</v>
      </c>
      <c r="AK146" t="s">
        <v>926</v>
      </c>
      <c r="AL146" t="s">
        <v>1828</v>
      </c>
      <c r="AM146" t="s">
        <v>76</v>
      </c>
      <c r="AR146" t="s">
        <v>70</v>
      </c>
      <c r="AS146" t="s">
        <v>926</v>
      </c>
      <c r="AT146" t="s">
        <v>1828</v>
      </c>
      <c r="AU146" t="s">
        <v>83</v>
      </c>
      <c r="AV146" t="s">
        <v>2075</v>
      </c>
      <c r="AW146" t="str">
        <f>"3400731"</f>
        <v>3400731</v>
      </c>
    </row>
    <row r="147" spans="1:49">
      <c r="A147" t="str">
        <f t="shared" ref="A147:A156" si="6">"05"</f>
        <v>05</v>
      </c>
      <c r="B147" t="s">
        <v>1663</v>
      </c>
      <c r="C147" t="str">
        <f>"4450"</f>
        <v>4450</v>
      </c>
      <c r="D147" t="s">
        <v>2076</v>
      </c>
      <c r="F147" t="s">
        <v>70</v>
      </c>
      <c r="G147" t="s">
        <v>347</v>
      </c>
      <c r="H147" t="s">
        <v>2077</v>
      </c>
      <c r="I147" t="s">
        <v>89</v>
      </c>
      <c r="J147" s="2" t="s">
        <v>2078</v>
      </c>
      <c r="K147" t="s">
        <v>2079</v>
      </c>
      <c r="L147" t="s">
        <v>60</v>
      </c>
      <c r="M147" t="s">
        <v>2080</v>
      </c>
      <c r="N147" t="s">
        <v>62</v>
      </c>
      <c r="O147" t="str">
        <f>"08075"</f>
        <v>08075</v>
      </c>
      <c r="P147" t="s">
        <v>2079</v>
      </c>
      <c r="S147" t="s">
        <v>2080</v>
      </c>
      <c r="T147" t="s">
        <v>62</v>
      </c>
      <c r="U147" t="str">
        <f>"08075"</f>
        <v>08075</v>
      </c>
      <c r="W147" t="s">
        <v>2081</v>
      </c>
      <c r="X147" t="s">
        <v>54</v>
      </c>
      <c r="Y147" t="s">
        <v>2082</v>
      </c>
      <c r="Z147" t="s">
        <v>2083</v>
      </c>
      <c r="AA147" t="s">
        <v>68</v>
      </c>
      <c r="AB147" t="s">
        <v>54</v>
      </c>
      <c r="AC147" t="s">
        <v>233</v>
      </c>
      <c r="AD147" t="s">
        <v>2084</v>
      </c>
      <c r="AE147" t="s">
        <v>415</v>
      </c>
      <c r="AF147" t="s">
        <v>54</v>
      </c>
      <c r="AG147" t="s">
        <v>233</v>
      </c>
      <c r="AH147" t="s">
        <v>2084</v>
      </c>
      <c r="AI147" t="s">
        <v>73</v>
      </c>
      <c r="AJ147" t="s">
        <v>77</v>
      </c>
      <c r="AK147" t="s">
        <v>873</v>
      </c>
      <c r="AL147" t="s">
        <v>2085</v>
      </c>
      <c r="AM147" t="s">
        <v>76</v>
      </c>
      <c r="AN147" t="s">
        <v>77</v>
      </c>
      <c r="AO147" t="s">
        <v>178</v>
      </c>
      <c r="AP147" t="s">
        <v>2086</v>
      </c>
      <c r="AQ147" t="s">
        <v>80</v>
      </c>
      <c r="AV147" t="s">
        <v>2087</v>
      </c>
      <c r="AW147" t="str">
        <f>"3414010"</f>
        <v>3414010</v>
      </c>
    </row>
    <row r="148" spans="1:49">
      <c r="A148" t="str">
        <f t="shared" si="6"/>
        <v>05</v>
      </c>
      <c r="B148" t="s">
        <v>1663</v>
      </c>
      <c r="C148" t="str">
        <f>"4460"</f>
        <v>4460</v>
      </c>
      <c r="D148" t="s">
        <v>2088</v>
      </c>
      <c r="G148" t="s">
        <v>2089</v>
      </c>
      <c r="H148" t="s">
        <v>2090</v>
      </c>
      <c r="I148" t="s">
        <v>89</v>
      </c>
      <c r="J148" s="2" t="s">
        <v>2091</v>
      </c>
      <c r="K148" t="s">
        <v>2092</v>
      </c>
      <c r="L148" t="s">
        <v>2093</v>
      </c>
      <c r="M148" t="s">
        <v>2094</v>
      </c>
      <c r="N148" t="s">
        <v>62</v>
      </c>
      <c r="O148" t="str">
        <f>"08077"</f>
        <v>08077</v>
      </c>
      <c r="P148" t="s">
        <v>2092</v>
      </c>
      <c r="Q148" t="s">
        <v>2095</v>
      </c>
      <c r="S148" t="s">
        <v>2094</v>
      </c>
      <c r="T148" t="s">
        <v>62</v>
      </c>
      <c r="U148" t="str">
        <f>"08077"</f>
        <v>08077</v>
      </c>
      <c r="W148" t="s">
        <v>2096</v>
      </c>
      <c r="X148" t="s">
        <v>77</v>
      </c>
      <c r="Y148" t="s">
        <v>2097</v>
      </c>
      <c r="Z148" t="s">
        <v>2098</v>
      </c>
      <c r="AA148" t="s">
        <v>112</v>
      </c>
      <c r="AB148" t="s">
        <v>65</v>
      </c>
      <c r="AC148" t="s">
        <v>2099</v>
      </c>
      <c r="AD148" t="s">
        <v>1261</v>
      </c>
      <c r="AE148" t="s">
        <v>181</v>
      </c>
      <c r="AF148" t="s">
        <v>65</v>
      </c>
      <c r="AG148" t="s">
        <v>2099</v>
      </c>
      <c r="AH148" t="s">
        <v>1261</v>
      </c>
      <c r="AI148" t="s">
        <v>73</v>
      </c>
      <c r="AJ148" t="s">
        <v>54</v>
      </c>
      <c r="AK148" t="s">
        <v>2089</v>
      </c>
      <c r="AL148" t="s">
        <v>2090</v>
      </c>
      <c r="AM148" t="s">
        <v>76</v>
      </c>
      <c r="AN148" t="s">
        <v>77</v>
      </c>
      <c r="AO148" t="s">
        <v>873</v>
      </c>
      <c r="AP148" t="s">
        <v>2100</v>
      </c>
      <c r="AQ148" t="s">
        <v>80</v>
      </c>
      <c r="AS148" t="s">
        <v>2089</v>
      </c>
      <c r="AT148" t="s">
        <v>2090</v>
      </c>
      <c r="AU148" t="s">
        <v>83</v>
      </c>
      <c r="AV148" t="s">
        <v>2101</v>
      </c>
      <c r="AW148" t="str">
        <f>"3414040"</f>
        <v>3414040</v>
      </c>
    </row>
    <row r="149" spans="1:49">
      <c r="A149" t="str">
        <f t="shared" si="6"/>
        <v>05</v>
      </c>
      <c r="B149" t="s">
        <v>1663</v>
      </c>
      <c r="C149" t="str">
        <f>"4740"</f>
        <v>4740</v>
      </c>
      <c r="D149" t="s">
        <v>2102</v>
      </c>
      <c r="F149" t="s">
        <v>65</v>
      </c>
      <c r="G149" t="s">
        <v>306</v>
      </c>
      <c r="H149" t="s">
        <v>2103</v>
      </c>
      <c r="I149" t="s">
        <v>89</v>
      </c>
      <c r="J149" s="2" t="s">
        <v>2104</v>
      </c>
      <c r="K149" t="s">
        <v>2105</v>
      </c>
      <c r="L149" t="s">
        <v>60</v>
      </c>
      <c r="M149" t="s">
        <v>1883</v>
      </c>
      <c r="N149" t="s">
        <v>62</v>
      </c>
      <c r="O149" t="str">
        <f>"08088"</f>
        <v>08088</v>
      </c>
      <c r="P149" t="s">
        <v>2105</v>
      </c>
      <c r="S149" t="s">
        <v>1883</v>
      </c>
      <c r="T149" t="s">
        <v>62</v>
      </c>
      <c r="U149" t="str">
        <f>"08088"</f>
        <v>08088</v>
      </c>
      <c r="W149">
        <v>6092680120</v>
      </c>
      <c r="X149" t="s">
        <v>70</v>
      </c>
      <c r="Y149" t="s">
        <v>932</v>
      </c>
      <c r="Z149" t="s">
        <v>2106</v>
      </c>
      <c r="AA149" t="s">
        <v>135</v>
      </c>
      <c r="AB149" t="s">
        <v>70</v>
      </c>
      <c r="AC149" t="s">
        <v>807</v>
      </c>
      <c r="AD149" t="s">
        <v>2107</v>
      </c>
      <c r="AE149" t="s">
        <v>181</v>
      </c>
      <c r="AF149" t="s">
        <v>70</v>
      </c>
      <c r="AG149" t="s">
        <v>2108</v>
      </c>
      <c r="AH149" t="s">
        <v>2109</v>
      </c>
      <c r="AI149" t="s">
        <v>73</v>
      </c>
      <c r="AJ149" t="s">
        <v>77</v>
      </c>
      <c r="AK149" t="s">
        <v>357</v>
      </c>
      <c r="AL149" t="s">
        <v>2110</v>
      </c>
      <c r="AM149" t="s">
        <v>76</v>
      </c>
      <c r="AN149" t="s">
        <v>77</v>
      </c>
      <c r="AO149" t="s">
        <v>2111</v>
      </c>
      <c r="AP149" t="s">
        <v>2112</v>
      </c>
      <c r="AQ149" t="s">
        <v>80</v>
      </c>
      <c r="AR149" t="s">
        <v>70</v>
      </c>
      <c r="AS149" t="s">
        <v>306</v>
      </c>
      <c r="AT149" t="s">
        <v>2103</v>
      </c>
      <c r="AU149" t="s">
        <v>83</v>
      </c>
      <c r="AV149" t="s">
        <v>2113</v>
      </c>
      <c r="AW149" t="str">
        <f>"3414880"</f>
        <v>3414880</v>
      </c>
    </row>
    <row r="150" spans="1:49">
      <c r="A150" t="str">
        <f t="shared" si="6"/>
        <v>05</v>
      </c>
      <c r="B150" t="s">
        <v>1663</v>
      </c>
      <c r="C150" t="str">
        <f>"4930"</f>
        <v>4930</v>
      </c>
      <c r="D150" t="s">
        <v>2114</v>
      </c>
      <c r="F150" t="s">
        <v>77</v>
      </c>
      <c r="G150" t="s">
        <v>287</v>
      </c>
      <c r="H150" t="s">
        <v>8190</v>
      </c>
      <c r="I150" t="s">
        <v>408</v>
      </c>
      <c r="J150" s="3" t="s">
        <v>8191</v>
      </c>
      <c r="K150" t="s">
        <v>2115</v>
      </c>
      <c r="L150" t="s">
        <v>2116</v>
      </c>
      <c r="M150" t="s">
        <v>2117</v>
      </c>
      <c r="N150" t="s">
        <v>62</v>
      </c>
      <c r="O150" t="s">
        <v>2118</v>
      </c>
      <c r="P150" t="s">
        <v>2115</v>
      </c>
      <c r="Q150" t="s">
        <v>2119</v>
      </c>
      <c r="S150" t="s">
        <v>2117</v>
      </c>
      <c r="T150" t="s">
        <v>62</v>
      </c>
      <c r="U150" t="str">
        <f>"08088"</f>
        <v>08088</v>
      </c>
      <c r="V150" t="str">
        <f>"8874"</f>
        <v>8874</v>
      </c>
      <c r="W150" t="s">
        <v>2120</v>
      </c>
      <c r="X150" t="s">
        <v>54</v>
      </c>
      <c r="Y150" t="s">
        <v>1796</v>
      </c>
      <c r="Z150" t="s">
        <v>2121</v>
      </c>
      <c r="AA150" t="s">
        <v>135</v>
      </c>
      <c r="AB150" t="s">
        <v>70</v>
      </c>
      <c r="AC150" t="s">
        <v>155</v>
      </c>
      <c r="AD150" t="s">
        <v>2122</v>
      </c>
      <c r="AE150" t="s">
        <v>98</v>
      </c>
      <c r="AF150" t="s">
        <v>77</v>
      </c>
      <c r="AG150" t="s">
        <v>120</v>
      </c>
      <c r="AH150" t="s">
        <v>857</v>
      </c>
      <c r="AI150" t="s">
        <v>73</v>
      </c>
      <c r="AJ150" t="s">
        <v>54</v>
      </c>
      <c r="AK150" t="s">
        <v>2123</v>
      </c>
      <c r="AL150" t="s">
        <v>120</v>
      </c>
      <c r="AM150" t="s">
        <v>76</v>
      </c>
      <c r="AN150" t="s">
        <v>54</v>
      </c>
      <c r="AO150" t="s">
        <v>2123</v>
      </c>
      <c r="AP150" t="s">
        <v>120</v>
      </c>
      <c r="AQ150" t="s">
        <v>80</v>
      </c>
      <c r="AR150" t="s">
        <v>77</v>
      </c>
      <c r="AS150" t="s">
        <v>120</v>
      </c>
      <c r="AT150" t="s">
        <v>857</v>
      </c>
      <c r="AU150" t="s">
        <v>83</v>
      </c>
      <c r="AV150" t="s">
        <v>2124</v>
      </c>
      <c r="AW150" t="str">
        <f>"3415420"</f>
        <v>3415420</v>
      </c>
    </row>
    <row r="151" spans="1:49">
      <c r="A151" t="str">
        <f t="shared" si="6"/>
        <v>05</v>
      </c>
      <c r="B151" t="s">
        <v>1663</v>
      </c>
      <c r="C151" t="str">
        <f>"5010"</f>
        <v>5010</v>
      </c>
      <c r="D151" t="s">
        <v>2125</v>
      </c>
      <c r="F151" t="s">
        <v>77</v>
      </c>
      <c r="G151" t="s">
        <v>1128</v>
      </c>
      <c r="H151" t="s">
        <v>2126</v>
      </c>
      <c r="I151" t="s">
        <v>89</v>
      </c>
      <c r="J151" s="2" t="s">
        <v>2127</v>
      </c>
      <c r="K151" t="s">
        <v>2128</v>
      </c>
      <c r="L151" t="s">
        <v>60</v>
      </c>
      <c r="M151" t="s">
        <v>2129</v>
      </c>
      <c r="N151" t="s">
        <v>62</v>
      </c>
      <c r="O151" t="str">
        <f>"08041"</f>
        <v>08041</v>
      </c>
      <c r="P151" t="s">
        <v>2128</v>
      </c>
      <c r="S151" t="s">
        <v>2129</v>
      </c>
      <c r="T151" t="s">
        <v>62</v>
      </c>
      <c r="U151" t="str">
        <f>"08041"</f>
        <v>08041</v>
      </c>
      <c r="W151" t="s">
        <v>2130</v>
      </c>
      <c r="X151" t="s">
        <v>54</v>
      </c>
      <c r="Y151" t="s">
        <v>1250</v>
      </c>
      <c r="Z151" t="s">
        <v>2131</v>
      </c>
      <c r="AA151" t="s">
        <v>112</v>
      </c>
      <c r="AB151" t="s">
        <v>77</v>
      </c>
      <c r="AC151" t="s">
        <v>1128</v>
      </c>
      <c r="AD151" t="s">
        <v>2126</v>
      </c>
      <c r="AE151" t="s">
        <v>415</v>
      </c>
      <c r="AF151" t="s">
        <v>77</v>
      </c>
      <c r="AG151" t="s">
        <v>1128</v>
      </c>
      <c r="AH151" t="s">
        <v>2126</v>
      </c>
      <c r="AI151" t="s">
        <v>73</v>
      </c>
      <c r="AJ151" t="s">
        <v>77</v>
      </c>
      <c r="AK151" t="s">
        <v>1128</v>
      </c>
      <c r="AL151" t="s">
        <v>2126</v>
      </c>
      <c r="AM151" t="s">
        <v>76</v>
      </c>
      <c r="AN151" t="s">
        <v>77</v>
      </c>
      <c r="AO151" t="s">
        <v>2132</v>
      </c>
      <c r="AP151" t="s">
        <v>857</v>
      </c>
      <c r="AQ151" t="s">
        <v>80</v>
      </c>
      <c r="AR151" t="s">
        <v>77</v>
      </c>
      <c r="AS151" t="s">
        <v>1128</v>
      </c>
      <c r="AT151" t="s">
        <v>2126</v>
      </c>
      <c r="AU151" t="s">
        <v>83</v>
      </c>
      <c r="AV151" t="s">
        <v>2133</v>
      </c>
      <c r="AW151" t="str">
        <f>"3415660"</f>
        <v>3415660</v>
      </c>
    </row>
    <row r="152" spans="1:49">
      <c r="A152" t="str">
        <f t="shared" si="6"/>
        <v>05</v>
      </c>
      <c r="B152" t="s">
        <v>1663</v>
      </c>
      <c r="C152" t="str">
        <f>"5130"</f>
        <v>5130</v>
      </c>
      <c r="D152" t="s">
        <v>2134</v>
      </c>
      <c r="F152" t="s">
        <v>77</v>
      </c>
      <c r="G152" t="s">
        <v>1953</v>
      </c>
      <c r="H152" t="s">
        <v>2135</v>
      </c>
      <c r="I152" t="s">
        <v>57</v>
      </c>
      <c r="J152" s="2" t="s">
        <v>2136</v>
      </c>
      <c r="K152" t="s">
        <v>2137</v>
      </c>
      <c r="L152" t="s">
        <v>60</v>
      </c>
      <c r="M152" t="s">
        <v>2138</v>
      </c>
      <c r="N152" t="s">
        <v>62</v>
      </c>
      <c r="O152" t="str">
        <f>"08088"</f>
        <v>08088</v>
      </c>
      <c r="P152" t="s">
        <v>2137</v>
      </c>
      <c r="S152" t="s">
        <v>2138</v>
      </c>
      <c r="T152" t="s">
        <v>62</v>
      </c>
      <c r="U152" t="str">
        <f>"08088"</f>
        <v>08088</v>
      </c>
      <c r="W152" t="s">
        <v>2139</v>
      </c>
      <c r="X152" t="s">
        <v>70</v>
      </c>
      <c r="Y152" t="s">
        <v>233</v>
      </c>
      <c r="Z152" t="s">
        <v>537</v>
      </c>
      <c r="AA152" t="s">
        <v>135</v>
      </c>
      <c r="AB152" t="s">
        <v>77</v>
      </c>
      <c r="AC152" t="s">
        <v>1796</v>
      </c>
      <c r="AD152" t="s">
        <v>2140</v>
      </c>
      <c r="AE152" t="s">
        <v>913</v>
      </c>
      <c r="AF152" t="s">
        <v>77</v>
      </c>
      <c r="AG152" t="s">
        <v>677</v>
      </c>
      <c r="AH152" t="s">
        <v>2141</v>
      </c>
      <c r="AI152" t="s">
        <v>73</v>
      </c>
      <c r="AJ152" t="s">
        <v>54</v>
      </c>
      <c r="AK152" t="s">
        <v>716</v>
      </c>
      <c r="AL152" t="s">
        <v>2142</v>
      </c>
      <c r="AM152" t="s">
        <v>76</v>
      </c>
      <c r="AN152" t="s">
        <v>77</v>
      </c>
      <c r="AO152" t="s">
        <v>1095</v>
      </c>
      <c r="AP152" t="s">
        <v>2143</v>
      </c>
      <c r="AQ152" t="s">
        <v>80</v>
      </c>
      <c r="AR152" t="s">
        <v>77</v>
      </c>
      <c r="AS152" t="s">
        <v>1953</v>
      </c>
      <c r="AT152" t="s">
        <v>2135</v>
      </c>
      <c r="AU152" t="s">
        <v>83</v>
      </c>
      <c r="AV152" t="s">
        <v>2144</v>
      </c>
      <c r="AW152" t="str">
        <f>"3416020"</f>
        <v>3416020</v>
      </c>
    </row>
    <row r="153" spans="1:49">
      <c r="A153" t="str">
        <f t="shared" si="6"/>
        <v>05</v>
      </c>
      <c r="B153" t="s">
        <v>1663</v>
      </c>
      <c r="C153" t="str">
        <f>"5490"</f>
        <v>5490</v>
      </c>
      <c r="D153" t="s">
        <v>2145</v>
      </c>
      <c r="K153" t="s">
        <v>2146</v>
      </c>
      <c r="L153" t="s">
        <v>60</v>
      </c>
      <c r="M153" t="s">
        <v>2147</v>
      </c>
      <c r="N153" t="s">
        <v>62</v>
      </c>
      <c r="O153" t="str">
        <f>"08215"</f>
        <v>08215</v>
      </c>
      <c r="P153" t="s">
        <v>2146</v>
      </c>
      <c r="S153" t="s">
        <v>2147</v>
      </c>
      <c r="T153" t="s">
        <v>62</v>
      </c>
      <c r="U153" t="str">
        <f>"08215"</f>
        <v>08215</v>
      </c>
      <c r="X153" t="s">
        <v>54</v>
      </c>
      <c r="Y153" t="s">
        <v>429</v>
      </c>
      <c r="Z153" t="s">
        <v>430</v>
      </c>
      <c r="AA153" t="s">
        <v>112</v>
      </c>
      <c r="AB153" t="s">
        <v>54</v>
      </c>
      <c r="AC153" t="s">
        <v>2148</v>
      </c>
      <c r="AD153" t="s">
        <v>2149</v>
      </c>
      <c r="AE153" t="s">
        <v>98</v>
      </c>
      <c r="AF153" t="s">
        <v>54</v>
      </c>
      <c r="AG153" t="s">
        <v>2150</v>
      </c>
      <c r="AH153" t="s">
        <v>2151</v>
      </c>
      <c r="AI153" t="s">
        <v>73</v>
      </c>
      <c r="AJ153" t="s">
        <v>70</v>
      </c>
      <c r="AK153" t="s">
        <v>1346</v>
      </c>
      <c r="AL153" t="s">
        <v>2152</v>
      </c>
      <c r="AM153" t="s">
        <v>76</v>
      </c>
      <c r="AN153" t="s">
        <v>77</v>
      </c>
      <c r="AO153" t="s">
        <v>120</v>
      </c>
      <c r="AP153" t="s">
        <v>438</v>
      </c>
      <c r="AQ153" t="s">
        <v>80</v>
      </c>
      <c r="AV153" t="s">
        <v>2153</v>
      </c>
      <c r="AW153" t="str">
        <f>"3417040"</f>
        <v>3417040</v>
      </c>
    </row>
    <row r="154" spans="1:49">
      <c r="A154" t="str">
        <f t="shared" si="6"/>
        <v>05</v>
      </c>
      <c r="B154" t="s">
        <v>1663</v>
      </c>
      <c r="C154" t="str">
        <f>"5720"</f>
        <v>5720</v>
      </c>
      <c r="D154" t="s">
        <v>2154</v>
      </c>
      <c r="F154" t="s">
        <v>65</v>
      </c>
      <c r="G154" t="s">
        <v>166</v>
      </c>
      <c r="H154" t="s">
        <v>2155</v>
      </c>
      <c r="I154" t="s">
        <v>89</v>
      </c>
      <c r="J154" s="2" t="s">
        <v>2156</v>
      </c>
      <c r="K154" t="s">
        <v>2157</v>
      </c>
      <c r="L154" t="s">
        <v>60</v>
      </c>
      <c r="M154" t="s">
        <v>1674</v>
      </c>
      <c r="N154" t="s">
        <v>62</v>
      </c>
      <c r="O154" t="str">
        <f>"08060"</f>
        <v>08060</v>
      </c>
      <c r="P154" t="s">
        <v>2157</v>
      </c>
      <c r="S154" t="s">
        <v>1674</v>
      </c>
      <c r="T154" t="s">
        <v>62</v>
      </c>
      <c r="U154" t="str">
        <f>"08060"</f>
        <v>08060</v>
      </c>
      <c r="W154" t="s">
        <v>2158</v>
      </c>
      <c r="X154" t="s">
        <v>77</v>
      </c>
      <c r="Y154" t="s">
        <v>404</v>
      </c>
      <c r="Z154" t="s">
        <v>2159</v>
      </c>
      <c r="AA154" t="s">
        <v>773</v>
      </c>
      <c r="AB154" t="s">
        <v>54</v>
      </c>
      <c r="AC154" t="s">
        <v>2160</v>
      </c>
      <c r="AD154" t="s">
        <v>2161</v>
      </c>
      <c r="AE154" t="s">
        <v>181</v>
      </c>
      <c r="AF154" t="s">
        <v>77</v>
      </c>
      <c r="AG154" t="s">
        <v>166</v>
      </c>
      <c r="AH154" t="s">
        <v>2162</v>
      </c>
      <c r="AI154" t="s">
        <v>73</v>
      </c>
      <c r="AJ154" t="s">
        <v>65</v>
      </c>
      <c r="AK154" t="s">
        <v>2015</v>
      </c>
      <c r="AL154" t="s">
        <v>2163</v>
      </c>
      <c r="AM154" t="s">
        <v>76</v>
      </c>
      <c r="AN154" t="s">
        <v>77</v>
      </c>
      <c r="AO154" t="s">
        <v>138</v>
      </c>
      <c r="AP154" t="s">
        <v>2164</v>
      </c>
      <c r="AQ154" t="s">
        <v>80</v>
      </c>
      <c r="AR154" t="s">
        <v>65</v>
      </c>
      <c r="AS154" t="s">
        <v>2015</v>
      </c>
      <c r="AT154" t="s">
        <v>2163</v>
      </c>
      <c r="AU154" t="s">
        <v>83</v>
      </c>
      <c r="AV154" t="s">
        <v>2165</v>
      </c>
      <c r="AW154" t="str">
        <f>"3417730"</f>
        <v>3417730</v>
      </c>
    </row>
    <row r="155" spans="1:49">
      <c r="A155" t="str">
        <f t="shared" si="6"/>
        <v>05</v>
      </c>
      <c r="B155" t="s">
        <v>1663</v>
      </c>
      <c r="C155" t="str">
        <f>"5805"</f>
        <v>5805</v>
      </c>
      <c r="D155" t="s">
        <v>2166</v>
      </c>
      <c r="F155" t="s">
        <v>65</v>
      </c>
      <c r="G155" t="s">
        <v>2167</v>
      </c>
      <c r="H155" t="s">
        <v>2168</v>
      </c>
      <c r="I155" t="s">
        <v>89</v>
      </c>
      <c r="J155" s="2" t="s">
        <v>2169</v>
      </c>
      <c r="K155" t="s">
        <v>2170</v>
      </c>
      <c r="L155" t="s">
        <v>60</v>
      </c>
      <c r="M155" t="s">
        <v>2171</v>
      </c>
      <c r="N155" t="s">
        <v>62</v>
      </c>
      <c r="O155" t="str">
        <f>"08046"</f>
        <v>08046</v>
      </c>
      <c r="P155" t="s">
        <v>2170</v>
      </c>
      <c r="S155" t="s">
        <v>2171</v>
      </c>
      <c r="T155" t="s">
        <v>62</v>
      </c>
      <c r="U155" t="str">
        <f>"08046"</f>
        <v>08046</v>
      </c>
      <c r="W155" t="s">
        <v>2172</v>
      </c>
      <c r="X155" t="s">
        <v>77</v>
      </c>
      <c r="Y155" t="s">
        <v>2173</v>
      </c>
      <c r="Z155" t="s">
        <v>824</v>
      </c>
      <c r="AA155" t="s">
        <v>68</v>
      </c>
      <c r="AB155" t="s">
        <v>65</v>
      </c>
      <c r="AC155" t="s">
        <v>182</v>
      </c>
      <c r="AD155" t="s">
        <v>2174</v>
      </c>
      <c r="AE155" t="s">
        <v>98</v>
      </c>
      <c r="AF155" t="s">
        <v>70</v>
      </c>
      <c r="AG155" t="s">
        <v>2175</v>
      </c>
      <c r="AH155" t="s">
        <v>1967</v>
      </c>
      <c r="AI155" t="s">
        <v>73</v>
      </c>
      <c r="AJ155" t="s">
        <v>70</v>
      </c>
      <c r="AK155" t="s">
        <v>2175</v>
      </c>
      <c r="AL155" t="s">
        <v>1967</v>
      </c>
      <c r="AM155" t="s">
        <v>76</v>
      </c>
      <c r="AR155" t="s">
        <v>77</v>
      </c>
      <c r="AS155" t="s">
        <v>2173</v>
      </c>
      <c r="AT155" t="s">
        <v>824</v>
      </c>
      <c r="AU155" t="s">
        <v>83</v>
      </c>
      <c r="AV155" t="s">
        <v>2176</v>
      </c>
      <c r="AW155" t="str">
        <f>"3418000"</f>
        <v>3418000</v>
      </c>
    </row>
    <row r="156" spans="1:49">
      <c r="A156" t="str">
        <f t="shared" si="6"/>
        <v>05</v>
      </c>
      <c r="B156" t="s">
        <v>1663</v>
      </c>
      <c r="C156" t="str">
        <f>"5890"</f>
        <v>5890</v>
      </c>
      <c r="D156" t="s">
        <v>2177</v>
      </c>
      <c r="F156" t="s">
        <v>54</v>
      </c>
      <c r="G156" t="s">
        <v>2178</v>
      </c>
      <c r="H156" t="s">
        <v>2179</v>
      </c>
      <c r="I156" t="s">
        <v>89</v>
      </c>
      <c r="J156" s="2" t="s">
        <v>2180</v>
      </c>
      <c r="K156" t="s">
        <v>2181</v>
      </c>
      <c r="L156" t="s">
        <v>60</v>
      </c>
      <c r="M156" t="s">
        <v>2182</v>
      </c>
      <c r="N156" t="s">
        <v>62</v>
      </c>
      <c r="O156" t="str">
        <f>"08019"</f>
        <v>08019</v>
      </c>
      <c r="P156" t="s">
        <v>2183</v>
      </c>
      <c r="S156" t="s">
        <v>2182</v>
      </c>
      <c r="T156" t="s">
        <v>62</v>
      </c>
      <c r="U156" t="str">
        <f>"08019"</f>
        <v>08019</v>
      </c>
      <c r="W156" t="s">
        <v>2184</v>
      </c>
      <c r="X156" t="s">
        <v>54</v>
      </c>
      <c r="Y156" t="s">
        <v>932</v>
      </c>
      <c r="Z156" t="s">
        <v>2106</v>
      </c>
      <c r="AA156" t="s">
        <v>112</v>
      </c>
      <c r="AB156" t="s">
        <v>54</v>
      </c>
      <c r="AC156" t="s">
        <v>2185</v>
      </c>
      <c r="AD156" t="s">
        <v>2186</v>
      </c>
      <c r="AE156" t="s">
        <v>181</v>
      </c>
      <c r="AF156" t="s">
        <v>54</v>
      </c>
      <c r="AG156" t="s">
        <v>2178</v>
      </c>
      <c r="AH156" t="s">
        <v>2179</v>
      </c>
      <c r="AI156" t="s">
        <v>73</v>
      </c>
      <c r="AJ156" t="s">
        <v>54</v>
      </c>
      <c r="AK156" t="s">
        <v>2178</v>
      </c>
      <c r="AL156" t="s">
        <v>2179</v>
      </c>
      <c r="AM156" t="s">
        <v>76</v>
      </c>
      <c r="AR156" t="s">
        <v>54</v>
      </c>
      <c r="AS156" t="s">
        <v>2178</v>
      </c>
      <c r="AT156" t="s">
        <v>2179</v>
      </c>
      <c r="AU156" t="s">
        <v>83</v>
      </c>
      <c r="AV156" t="s">
        <v>2187</v>
      </c>
      <c r="AW156" t="str">
        <f>"3418240"</f>
        <v>3418240</v>
      </c>
    </row>
    <row r="157" spans="1:49">
      <c r="A157" t="str">
        <f t="shared" ref="A157:A167" si="7">"07"</f>
        <v>07</v>
      </c>
      <c r="B157" t="s">
        <v>2188</v>
      </c>
      <c r="C157" t="str">
        <f>"0150"</f>
        <v>0150</v>
      </c>
      <c r="D157" t="s">
        <v>2189</v>
      </c>
      <c r="F157" t="s">
        <v>65</v>
      </c>
      <c r="G157" t="s">
        <v>422</v>
      </c>
      <c r="H157" t="s">
        <v>900</v>
      </c>
      <c r="I157" t="s">
        <v>89</v>
      </c>
      <c r="J157" s="2" t="s">
        <v>2190</v>
      </c>
      <c r="K157" t="s">
        <v>2191</v>
      </c>
      <c r="L157" t="s">
        <v>60</v>
      </c>
      <c r="M157" t="s">
        <v>2192</v>
      </c>
      <c r="N157" t="s">
        <v>62</v>
      </c>
      <c r="O157" t="str">
        <f>"08106"</f>
        <v>08106</v>
      </c>
      <c r="P157" t="s">
        <v>2191</v>
      </c>
      <c r="S157" t="s">
        <v>2192</v>
      </c>
      <c r="T157" t="s">
        <v>62</v>
      </c>
      <c r="U157" t="str">
        <f>"08106"</f>
        <v>08106</v>
      </c>
      <c r="W157" t="s">
        <v>2193</v>
      </c>
      <c r="X157" t="s">
        <v>54</v>
      </c>
      <c r="Y157" t="s">
        <v>1209</v>
      </c>
      <c r="Z157" t="s">
        <v>2194</v>
      </c>
      <c r="AA157" t="s">
        <v>112</v>
      </c>
      <c r="AB157" t="s">
        <v>70</v>
      </c>
      <c r="AC157" t="s">
        <v>2195</v>
      </c>
      <c r="AD157" t="s">
        <v>2196</v>
      </c>
      <c r="AE157" t="s">
        <v>69</v>
      </c>
      <c r="AF157" t="s">
        <v>77</v>
      </c>
      <c r="AG157" t="s">
        <v>873</v>
      </c>
      <c r="AH157" t="s">
        <v>2197</v>
      </c>
      <c r="AI157" t="s">
        <v>73</v>
      </c>
      <c r="AJ157" t="s">
        <v>77</v>
      </c>
      <c r="AK157" t="s">
        <v>2198</v>
      </c>
      <c r="AL157" t="s">
        <v>706</v>
      </c>
      <c r="AM157" t="s">
        <v>76</v>
      </c>
      <c r="AN157" t="s">
        <v>65</v>
      </c>
      <c r="AO157" t="s">
        <v>422</v>
      </c>
      <c r="AP157" t="s">
        <v>900</v>
      </c>
      <c r="AQ157" t="s">
        <v>80</v>
      </c>
      <c r="AR157" t="s">
        <v>77</v>
      </c>
      <c r="AS157" t="s">
        <v>166</v>
      </c>
      <c r="AT157" t="s">
        <v>2199</v>
      </c>
      <c r="AU157" t="s">
        <v>83</v>
      </c>
      <c r="AV157" t="s">
        <v>2200</v>
      </c>
      <c r="AW157" t="str">
        <f>"3401050"</f>
        <v>3401050</v>
      </c>
    </row>
    <row r="158" spans="1:49">
      <c r="A158" t="str">
        <f t="shared" si="7"/>
        <v>07</v>
      </c>
      <c r="B158" t="s">
        <v>2188</v>
      </c>
      <c r="C158" t="str">
        <f>"0190"</f>
        <v>0190</v>
      </c>
      <c r="D158" t="s">
        <v>2201</v>
      </c>
      <c r="F158" t="s">
        <v>77</v>
      </c>
      <c r="G158" t="s">
        <v>166</v>
      </c>
      <c r="H158" t="s">
        <v>2202</v>
      </c>
      <c r="I158" t="s">
        <v>89</v>
      </c>
      <c r="J158" s="2" t="s">
        <v>2203</v>
      </c>
      <c r="K158" t="s">
        <v>2204</v>
      </c>
      <c r="L158" t="s">
        <v>60</v>
      </c>
      <c r="M158" t="s">
        <v>856</v>
      </c>
      <c r="N158" t="s">
        <v>62</v>
      </c>
      <c r="O158" t="str">
        <f>"08007"</f>
        <v>08007</v>
      </c>
      <c r="P158" t="s">
        <v>2204</v>
      </c>
      <c r="S158" t="s">
        <v>856</v>
      </c>
      <c r="T158" t="s">
        <v>62</v>
      </c>
      <c r="U158" t="str">
        <f>"08007"</f>
        <v>08007</v>
      </c>
      <c r="W158" t="s">
        <v>2205</v>
      </c>
      <c r="X158" t="s">
        <v>77</v>
      </c>
      <c r="Y158" t="s">
        <v>636</v>
      </c>
      <c r="Z158" t="s">
        <v>2206</v>
      </c>
      <c r="AA158" t="s">
        <v>135</v>
      </c>
      <c r="AB158" t="s">
        <v>54</v>
      </c>
      <c r="AC158" t="s">
        <v>680</v>
      </c>
      <c r="AD158" t="s">
        <v>2207</v>
      </c>
      <c r="AE158" t="s">
        <v>98</v>
      </c>
      <c r="AF158" t="s">
        <v>54</v>
      </c>
      <c r="AG158" t="s">
        <v>2208</v>
      </c>
      <c r="AH158" t="s">
        <v>2209</v>
      </c>
      <c r="AI158" t="s">
        <v>73</v>
      </c>
      <c r="AJ158" t="s">
        <v>54</v>
      </c>
      <c r="AK158" t="s">
        <v>96</v>
      </c>
      <c r="AL158" t="s">
        <v>2210</v>
      </c>
      <c r="AM158" t="s">
        <v>76</v>
      </c>
      <c r="AN158" t="s">
        <v>77</v>
      </c>
      <c r="AO158" t="s">
        <v>636</v>
      </c>
      <c r="AP158" t="s">
        <v>2206</v>
      </c>
      <c r="AQ158" t="s">
        <v>80</v>
      </c>
      <c r="AR158" t="s">
        <v>77</v>
      </c>
      <c r="AS158" t="s">
        <v>166</v>
      </c>
      <c r="AT158" t="s">
        <v>2202</v>
      </c>
      <c r="AU158" t="s">
        <v>83</v>
      </c>
      <c r="AV158" t="s">
        <v>2211</v>
      </c>
      <c r="AW158" t="str">
        <f>"3401170"</f>
        <v>3401170</v>
      </c>
    </row>
    <row r="159" spans="1:49">
      <c r="A159" t="str">
        <f t="shared" si="7"/>
        <v>07</v>
      </c>
      <c r="B159" t="s">
        <v>2188</v>
      </c>
      <c r="C159" t="str">
        <f>"0260"</f>
        <v>0260</v>
      </c>
      <c r="D159" t="s">
        <v>2212</v>
      </c>
      <c r="F159" t="s">
        <v>70</v>
      </c>
      <c r="G159" t="s">
        <v>1250</v>
      </c>
      <c r="H159" t="s">
        <v>8192</v>
      </c>
      <c r="I159" t="s">
        <v>89</v>
      </c>
      <c r="J159" s="3" t="s">
        <v>8193</v>
      </c>
      <c r="K159" t="s">
        <v>2213</v>
      </c>
      <c r="L159" t="s">
        <v>60</v>
      </c>
      <c r="M159" t="s">
        <v>2214</v>
      </c>
      <c r="N159" t="s">
        <v>62</v>
      </c>
      <c r="O159" t="str">
        <f>"08031"</f>
        <v>08031</v>
      </c>
      <c r="P159" t="s">
        <v>2213</v>
      </c>
      <c r="S159" t="s">
        <v>2214</v>
      </c>
      <c r="T159" t="s">
        <v>62</v>
      </c>
      <c r="U159" t="str">
        <f>"08031"</f>
        <v>08031</v>
      </c>
      <c r="W159" t="s">
        <v>2215</v>
      </c>
      <c r="X159" t="s">
        <v>77</v>
      </c>
      <c r="Y159" t="s">
        <v>293</v>
      </c>
      <c r="Z159" t="s">
        <v>2216</v>
      </c>
      <c r="AA159" t="s">
        <v>68</v>
      </c>
      <c r="AB159" t="s">
        <v>54</v>
      </c>
      <c r="AC159" t="s">
        <v>233</v>
      </c>
      <c r="AD159" t="s">
        <v>865</v>
      </c>
      <c r="AE159" t="s">
        <v>98</v>
      </c>
      <c r="AF159" t="s">
        <v>77</v>
      </c>
      <c r="AG159" t="s">
        <v>1061</v>
      </c>
      <c r="AH159" t="s">
        <v>2217</v>
      </c>
      <c r="AI159" t="s">
        <v>73</v>
      </c>
      <c r="AJ159" t="s">
        <v>54</v>
      </c>
      <c r="AK159" t="s">
        <v>245</v>
      </c>
      <c r="AL159" t="s">
        <v>2218</v>
      </c>
      <c r="AM159" t="s">
        <v>76</v>
      </c>
      <c r="AN159" t="s">
        <v>77</v>
      </c>
      <c r="AO159" t="s">
        <v>328</v>
      </c>
      <c r="AP159" t="s">
        <v>2219</v>
      </c>
      <c r="AQ159" t="s">
        <v>80</v>
      </c>
      <c r="AR159" t="s">
        <v>77</v>
      </c>
      <c r="AS159" t="s">
        <v>166</v>
      </c>
      <c r="AT159" t="s">
        <v>2220</v>
      </c>
      <c r="AU159" t="s">
        <v>83</v>
      </c>
      <c r="AV159" t="s">
        <v>2221</v>
      </c>
      <c r="AW159" t="str">
        <f>"3401380"</f>
        <v>3401380</v>
      </c>
    </row>
    <row r="160" spans="1:49">
      <c r="A160" t="str">
        <f t="shared" si="7"/>
        <v>07</v>
      </c>
      <c r="B160" t="s">
        <v>2188</v>
      </c>
      <c r="C160" t="str">
        <f>"0330"</f>
        <v>0330</v>
      </c>
      <c r="D160" t="s">
        <v>2222</v>
      </c>
      <c r="F160" t="s">
        <v>65</v>
      </c>
      <c r="G160" t="s">
        <v>358</v>
      </c>
      <c r="H160" t="s">
        <v>2223</v>
      </c>
      <c r="I160" t="s">
        <v>89</v>
      </c>
      <c r="J160" s="2" t="s">
        <v>2224</v>
      </c>
      <c r="K160" t="s">
        <v>2225</v>
      </c>
      <c r="L160" t="s">
        <v>60</v>
      </c>
      <c r="M160" t="s">
        <v>2226</v>
      </c>
      <c r="N160" t="s">
        <v>62</v>
      </c>
      <c r="O160" t="str">
        <f>"08009"</f>
        <v>08009</v>
      </c>
      <c r="P160" t="s">
        <v>2225</v>
      </c>
      <c r="S160" t="s">
        <v>2226</v>
      </c>
      <c r="T160" t="s">
        <v>62</v>
      </c>
      <c r="U160" t="str">
        <f>"08009"</f>
        <v>08009</v>
      </c>
      <c r="W160" t="s">
        <v>2227</v>
      </c>
      <c r="X160" t="s">
        <v>77</v>
      </c>
      <c r="Y160" t="s">
        <v>873</v>
      </c>
      <c r="Z160" t="s">
        <v>2228</v>
      </c>
      <c r="AA160" t="s">
        <v>135</v>
      </c>
      <c r="AB160" t="s">
        <v>70</v>
      </c>
      <c r="AC160" t="s">
        <v>1246</v>
      </c>
      <c r="AD160" t="s">
        <v>2229</v>
      </c>
      <c r="AE160" t="s">
        <v>415</v>
      </c>
      <c r="AF160" t="s">
        <v>65</v>
      </c>
      <c r="AG160" t="s">
        <v>358</v>
      </c>
      <c r="AH160" t="s">
        <v>2223</v>
      </c>
      <c r="AI160" t="s">
        <v>73</v>
      </c>
      <c r="AJ160" t="s">
        <v>65</v>
      </c>
      <c r="AK160" t="s">
        <v>358</v>
      </c>
      <c r="AL160" t="s">
        <v>2223</v>
      </c>
      <c r="AM160" t="s">
        <v>76</v>
      </c>
      <c r="AO160" t="s">
        <v>2230</v>
      </c>
      <c r="AP160" t="s">
        <v>2231</v>
      </c>
      <c r="AQ160" t="s">
        <v>80</v>
      </c>
      <c r="AR160" t="s">
        <v>54</v>
      </c>
      <c r="AS160" t="s">
        <v>2232</v>
      </c>
      <c r="AT160" t="s">
        <v>2233</v>
      </c>
      <c r="AU160" t="s">
        <v>83</v>
      </c>
      <c r="AV160" t="s">
        <v>2234</v>
      </c>
      <c r="AW160" t="str">
        <f>"3401590"</f>
        <v>3401590</v>
      </c>
    </row>
    <row r="161" spans="1:49">
      <c r="A161" t="str">
        <f t="shared" si="7"/>
        <v>07</v>
      </c>
      <c r="B161" t="s">
        <v>2188</v>
      </c>
      <c r="C161" t="str">
        <f>"0340"</f>
        <v>0340</v>
      </c>
      <c r="D161" t="s">
        <v>2235</v>
      </c>
      <c r="F161" t="s">
        <v>65</v>
      </c>
      <c r="G161" t="s">
        <v>2236</v>
      </c>
      <c r="H161" t="s">
        <v>2237</v>
      </c>
      <c r="I161" t="s">
        <v>89</v>
      </c>
      <c r="J161" s="2" t="s">
        <v>2238</v>
      </c>
      <c r="K161" t="s">
        <v>2239</v>
      </c>
      <c r="L161" t="s">
        <v>60</v>
      </c>
      <c r="M161" t="s">
        <v>2240</v>
      </c>
      <c r="N161" t="s">
        <v>62</v>
      </c>
      <c r="O161" t="str">
        <f>"08091"</f>
        <v>08091</v>
      </c>
      <c r="P161" t="s">
        <v>2239</v>
      </c>
      <c r="S161" t="s">
        <v>2240</v>
      </c>
      <c r="T161" t="s">
        <v>62</v>
      </c>
      <c r="U161" t="str">
        <f>"08091"</f>
        <v>08091</v>
      </c>
      <c r="W161" t="s">
        <v>2241</v>
      </c>
      <c r="X161" t="s">
        <v>54</v>
      </c>
      <c r="Y161" t="s">
        <v>645</v>
      </c>
      <c r="Z161" t="s">
        <v>2242</v>
      </c>
      <c r="AA161" t="s">
        <v>112</v>
      </c>
      <c r="AB161" t="s">
        <v>70</v>
      </c>
      <c r="AC161" t="s">
        <v>1246</v>
      </c>
      <c r="AD161" t="s">
        <v>2229</v>
      </c>
      <c r="AE161" t="s">
        <v>69</v>
      </c>
      <c r="AF161" t="s">
        <v>70</v>
      </c>
      <c r="AG161" t="s">
        <v>357</v>
      </c>
      <c r="AH161" t="s">
        <v>2243</v>
      </c>
      <c r="AI161" t="s">
        <v>73</v>
      </c>
      <c r="AJ161" t="s">
        <v>70</v>
      </c>
      <c r="AK161" t="s">
        <v>984</v>
      </c>
      <c r="AL161" t="s">
        <v>2244</v>
      </c>
      <c r="AM161" t="s">
        <v>76</v>
      </c>
      <c r="AR161" t="s">
        <v>65</v>
      </c>
      <c r="AS161" t="s">
        <v>2236</v>
      </c>
      <c r="AT161" t="s">
        <v>2237</v>
      </c>
      <c r="AU161" t="s">
        <v>83</v>
      </c>
      <c r="AV161" t="s">
        <v>2245</v>
      </c>
      <c r="AW161" t="str">
        <f>"3401620"</f>
        <v>3401620</v>
      </c>
    </row>
    <row r="162" spans="1:49">
      <c r="A162" t="str">
        <f t="shared" si="7"/>
        <v>07</v>
      </c>
      <c r="B162" t="s">
        <v>2188</v>
      </c>
      <c r="C162" t="str">
        <f>"0390"</f>
        <v>0390</v>
      </c>
      <c r="D162" t="s">
        <v>2246</v>
      </c>
      <c r="F162" t="s">
        <v>65</v>
      </c>
      <c r="G162" t="s">
        <v>212</v>
      </c>
      <c r="H162" t="s">
        <v>2247</v>
      </c>
      <c r="I162" t="s">
        <v>89</v>
      </c>
      <c r="J162" s="2" t="s">
        <v>2248</v>
      </c>
      <c r="K162" t="s">
        <v>2249</v>
      </c>
      <c r="L162" t="s">
        <v>60</v>
      </c>
      <c r="M162" t="s">
        <v>2250</v>
      </c>
      <c r="N162" t="s">
        <v>62</v>
      </c>
      <c r="O162" t="str">
        <f>"08012"</f>
        <v>08012</v>
      </c>
      <c r="P162" t="s">
        <v>2249</v>
      </c>
      <c r="S162" t="s">
        <v>2250</v>
      </c>
      <c r="T162" t="s">
        <v>62</v>
      </c>
      <c r="U162" t="str">
        <f>"08012"</f>
        <v>08012</v>
      </c>
      <c r="W162" t="s">
        <v>2251</v>
      </c>
      <c r="X162" t="s">
        <v>77</v>
      </c>
      <c r="Y162" t="s">
        <v>373</v>
      </c>
      <c r="Z162" t="s">
        <v>1097</v>
      </c>
      <c r="AA162" t="s">
        <v>112</v>
      </c>
      <c r="AB162" t="s">
        <v>54</v>
      </c>
      <c r="AC162" t="s">
        <v>2252</v>
      </c>
      <c r="AD162" t="s">
        <v>2253</v>
      </c>
      <c r="AE162" t="s">
        <v>913</v>
      </c>
      <c r="AF162" t="s">
        <v>54</v>
      </c>
      <c r="AG162" t="s">
        <v>1207</v>
      </c>
      <c r="AH162" t="s">
        <v>2254</v>
      </c>
      <c r="AI162" t="s">
        <v>73</v>
      </c>
      <c r="AJ162" t="s">
        <v>54</v>
      </c>
      <c r="AK162" t="s">
        <v>838</v>
      </c>
      <c r="AL162" t="s">
        <v>2255</v>
      </c>
      <c r="AM162" t="s">
        <v>76</v>
      </c>
      <c r="AR162" t="s">
        <v>65</v>
      </c>
      <c r="AS162" t="s">
        <v>212</v>
      </c>
      <c r="AT162" t="s">
        <v>2247</v>
      </c>
      <c r="AU162" t="s">
        <v>83</v>
      </c>
      <c r="AV162" t="s">
        <v>2256</v>
      </c>
      <c r="AW162" t="str">
        <f>"3401770"</f>
        <v>3401770</v>
      </c>
    </row>
    <row r="163" spans="1:49">
      <c r="A163" t="str">
        <f t="shared" si="7"/>
        <v>07</v>
      </c>
      <c r="B163" t="s">
        <v>2188</v>
      </c>
      <c r="C163" t="str">
        <f>"0580"</f>
        <v>0580</v>
      </c>
      <c r="D163" t="s">
        <v>2257</v>
      </c>
      <c r="F163" t="s">
        <v>65</v>
      </c>
      <c r="G163" t="s">
        <v>636</v>
      </c>
      <c r="H163" t="s">
        <v>2258</v>
      </c>
      <c r="I163" t="s">
        <v>89</v>
      </c>
      <c r="J163" s="2" t="s">
        <v>2259</v>
      </c>
      <c r="K163" t="s">
        <v>2260</v>
      </c>
      <c r="L163" t="s">
        <v>60</v>
      </c>
      <c r="M163" t="s">
        <v>2261</v>
      </c>
      <c r="N163" t="s">
        <v>62</v>
      </c>
      <c r="O163" t="str">
        <f>"08030"</f>
        <v>08030</v>
      </c>
      <c r="P163" t="s">
        <v>2260</v>
      </c>
      <c r="S163" t="s">
        <v>2261</v>
      </c>
      <c r="T163" t="s">
        <v>62</v>
      </c>
      <c r="U163" t="str">
        <f>"08030"</f>
        <v>08030</v>
      </c>
      <c r="W163" t="s">
        <v>2262</v>
      </c>
      <c r="X163" t="s">
        <v>77</v>
      </c>
      <c r="Y163" t="s">
        <v>636</v>
      </c>
      <c r="Z163" t="s">
        <v>2206</v>
      </c>
      <c r="AA163" t="s">
        <v>135</v>
      </c>
      <c r="AB163" t="s">
        <v>54</v>
      </c>
      <c r="AC163" t="s">
        <v>233</v>
      </c>
      <c r="AD163" t="s">
        <v>2263</v>
      </c>
      <c r="AE163" t="s">
        <v>181</v>
      </c>
      <c r="AF163" t="s">
        <v>65</v>
      </c>
      <c r="AG163" t="s">
        <v>636</v>
      </c>
      <c r="AH163" t="s">
        <v>2258</v>
      </c>
      <c r="AI163" t="s">
        <v>73</v>
      </c>
      <c r="AJ163" t="s">
        <v>65</v>
      </c>
      <c r="AK163" t="s">
        <v>636</v>
      </c>
      <c r="AL163" t="s">
        <v>2258</v>
      </c>
      <c r="AM163" t="s">
        <v>76</v>
      </c>
      <c r="AN163" t="s">
        <v>77</v>
      </c>
      <c r="AO163" t="s">
        <v>319</v>
      </c>
      <c r="AP163" t="s">
        <v>2264</v>
      </c>
      <c r="AQ163" t="s">
        <v>80</v>
      </c>
      <c r="AR163" t="s">
        <v>65</v>
      </c>
      <c r="AS163" t="s">
        <v>636</v>
      </c>
      <c r="AT163" t="s">
        <v>2258</v>
      </c>
      <c r="AU163" t="s">
        <v>83</v>
      </c>
      <c r="AV163" t="s">
        <v>2265</v>
      </c>
      <c r="AW163" t="str">
        <f>"3402370"</f>
        <v>3402370</v>
      </c>
    </row>
    <row r="164" spans="1:49">
      <c r="A164" t="str">
        <f t="shared" si="7"/>
        <v>07</v>
      </c>
      <c r="B164" t="s">
        <v>2188</v>
      </c>
      <c r="C164" t="str">
        <f>"0680"</f>
        <v>0680</v>
      </c>
      <c r="D164" t="s">
        <v>2266</v>
      </c>
      <c r="F164" t="s">
        <v>54</v>
      </c>
      <c r="G164" t="s">
        <v>2267</v>
      </c>
      <c r="H164" t="s">
        <v>2268</v>
      </c>
      <c r="I164" t="s">
        <v>2269</v>
      </c>
      <c r="J164" s="2" t="s">
        <v>2270</v>
      </c>
      <c r="K164" t="s">
        <v>2271</v>
      </c>
      <c r="L164" t="s">
        <v>60</v>
      </c>
      <c r="M164" t="s">
        <v>2272</v>
      </c>
      <c r="N164" t="s">
        <v>62</v>
      </c>
      <c r="O164" t="str">
        <f>"08105"</f>
        <v>08105</v>
      </c>
      <c r="P164" t="s">
        <v>2271</v>
      </c>
      <c r="S164" t="s">
        <v>2272</v>
      </c>
      <c r="T164" t="s">
        <v>62</v>
      </c>
      <c r="U164" t="str">
        <f>"08105"</f>
        <v>08105</v>
      </c>
      <c r="W164" t="s">
        <v>2273</v>
      </c>
      <c r="X164" t="s">
        <v>70</v>
      </c>
      <c r="Y164" t="s">
        <v>1298</v>
      </c>
      <c r="Z164" t="s">
        <v>2164</v>
      </c>
      <c r="AA164" t="s">
        <v>773</v>
      </c>
      <c r="AB164" t="s">
        <v>70</v>
      </c>
      <c r="AC164" t="s">
        <v>218</v>
      </c>
      <c r="AD164" t="s">
        <v>2274</v>
      </c>
      <c r="AE164" t="s">
        <v>98</v>
      </c>
      <c r="AF164" t="s">
        <v>70</v>
      </c>
      <c r="AG164" t="s">
        <v>447</v>
      </c>
      <c r="AH164" t="s">
        <v>1967</v>
      </c>
      <c r="AI164" t="s">
        <v>73</v>
      </c>
      <c r="AJ164" t="s">
        <v>70</v>
      </c>
      <c r="AK164" t="s">
        <v>2275</v>
      </c>
      <c r="AL164" t="s">
        <v>855</v>
      </c>
      <c r="AM164" t="s">
        <v>76</v>
      </c>
      <c r="AN164" t="s">
        <v>70</v>
      </c>
      <c r="AO164" t="s">
        <v>1910</v>
      </c>
      <c r="AP164" t="s">
        <v>2276</v>
      </c>
      <c r="AQ164" t="s">
        <v>80</v>
      </c>
      <c r="AR164" t="s">
        <v>70</v>
      </c>
      <c r="AS164" t="s">
        <v>519</v>
      </c>
      <c r="AT164" t="s">
        <v>2277</v>
      </c>
      <c r="AU164" t="s">
        <v>83</v>
      </c>
      <c r="AV164" t="s">
        <v>2278</v>
      </c>
      <c r="AW164" t="str">
        <f>"3402640"</f>
        <v>3402640</v>
      </c>
    </row>
    <row r="165" spans="1:49">
      <c r="A165" t="str">
        <f t="shared" si="7"/>
        <v>07</v>
      </c>
      <c r="B165" t="s">
        <v>2188</v>
      </c>
      <c r="C165" t="str">
        <f>"0695"</f>
        <v>0695</v>
      </c>
      <c r="D165" t="s">
        <v>2279</v>
      </c>
      <c r="F165" t="s">
        <v>77</v>
      </c>
      <c r="G165" t="s">
        <v>87</v>
      </c>
      <c r="H165" t="s">
        <v>2280</v>
      </c>
      <c r="I165" t="s">
        <v>89</v>
      </c>
      <c r="J165" s="2" t="s">
        <v>2281</v>
      </c>
      <c r="K165" t="s">
        <v>2282</v>
      </c>
      <c r="L165" t="s">
        <v>60</v>
      </c>
      <c r="M165" t="s">
        <v>2283</v>
      </c>
      <c r="N165" t="s">
        <v>62</v>
      </c>
      <c r="O165" t="str">
        <f>"08021"</f>
        <v>08021</v>
      </c>
      <c r="P165" t="s">
        <v>2282</v>
      </c>
      <c r="S165" t="s">
        <v>2283</v>
      </c>
      <c r="T165" t="s">
        <v>62</v>
      </c>
      <c r="U165" t="str">
        <f>"08021"</f>
        <v>08021</v>
      </c>
      <c r="W165" t="s">
        <v>2284</v>
      </c>
      <c r="X165" t="s">
        <v>77</v>
      </c>
      <c r="Y165" t="s">
        <v>293</v>
      </c>
      <c r="Z165" t="s">
        <v>2285</v>
      </c>
      <c r="AA165" t="s">
        <v>135</v>
      </c>
      <c r="AB165" t="s">
        <v>70</v>
      </c>
      <c r="AC165" t="s">
        <v>838</v>
      </c>
      <c r="AD165" t="s">
        <v>2286</v>
      </c>
      <c r="AE165" t="s">
        <v>69</v>
      </c>
      <c r="AF165" t="s">
        <v>70</v>
      </c>
      <c r="AG165" t="s">
        <v>233</v>
      </c>
      <c r="AH165" t="s">
        <v>679</v>
      </c>
      <c r="AI165" t="s">
        <v>73</v>
      </c>
      <c r="AJ165" t="s">
        <v>70</v>
      </c>
      <c r="AK165" t="s">
        <v>1655</v>
      </c>
      <c r="AL165" t="s">
        <v>2287</v>
      </c>
      <c r="AM165" t="s">
        <v>76</v>
      </c>
      <c r="AR165" t="s">
        <v>77</v>
      </c>
      <c r="AS165" t="s">
        <v>293</v>
      </c>
      <c r="AT165" t="s">
        <v>2285</v>
      </c>
      <c r="AU165" t="s">
        <v>83</v>
      </c>
      <c r="AV165" t="s">
        <v>2288</v>
      </c>
      <c r="AW165" t="str">
        <f>"3480340"</f>
        <v>3480340</v>
      </c>
    </row>
    <row r="166" spans="1:49">
      <c r="A166" t="str">
        <f t="shared" si="7"/>
        <v>07</v>
      </c>
      <c r="B166" t="s">
        <v>2188</v>
      </c>
      <c r="C166" t="str">
        <f>"0700"</f>
        <v>0700</v>
      </c>
      <c r="D166" t="s">
        <v>2289</v>
      </c>
      <c r="G166" t="s">
        <v>233</v>
      </c>
      <c r="H166" t="s">
        <v>2290</v>
      </c>
      <c r="I166" t="s">
        <v>89</v>
      </c>
      <c r="J166" s="2" t="s">
        <v>2291</v>
      </c>
      <c r="K166" t="s">
        <v>2292</v>
      </c>
      <c r="L166" t="s">
        <v>60</v>
      </c>
      <c r="M166" t="s">
        <v>2293</v>
      </c>
      <c r="N166" t="s">
        <v>62</v>
      </c>
      <c r="O166" t="str">
        <f>"08081"</f>
        <v>08081</v>
      </c>
      <c r="P166" t="s">
        <v>2292</v>
      </c>
      <c r="S166" t="s">
        <v>2293</v>
      </c>
      <c r="T166" t="s">
        <v>62</v>
      </c>
      <c r="U166" t="str">
        <f>"08081"</f>
        <v>08081</v>
      </c>
      <c r="W166" t="s">
        <v>2294</v>
      </c>
      <c r="Y166" t="s">
        <v>436</v>
      </c>
      <c r="Z166" t="s">
        <v>2295</v>
      </c>
      <c r="AA166" t="s">
        <v>135</v>
      </c>
      <c r="AC166" t="s">
        <v>590</v>
      </c>
      <c r="AD166" t="s">
        <v>2296</v>
      </c>
      <c r="AE166" t="s">
        <v>98</v>
      </c>
      <c r="AG166" t="s">
        <v>711</v>
      </c>
      <c r="AH166" t="s">
        <v>2297</v>
      </c>
      <c r="AI166" t="s">
        <v>73</v>
      </c>
      <c r="AK166" t="s">
        <v>429</v>
      </c>
      <c r="AL166" t="s">
        <v>2298</v>
      </c>
      <c r="AM166" t="s">
        <v>76</v>
      </c>
      <c r="AO166" t="s">
        <v>2299</v>
      </c>
      <c r="AP166" t="s">
        <v>2300</v>
      </c>
      <c r="AQ166" t="s">
        <v>80</v>
      </c>
      <c r="AS166" t="s">
        <v>436</v>
      </c>
      <c r="AT166" t="s">
        <v>2295</v>
      </c>
      <c r="AU166" t="s">
        <v>83</v>
      </c>
      <c r="AV166" t="s">
        <v>2301</v>
      </c>
      <c r="AW166" t="str">
        <f>"3402670"</f>
        <v>3402670</v>
      </c>
    </row>
    <row r="167" spans="1:49">
      <c r="A167" t="str">
        <f t="shared" si="7"/>
        <v>07</v>
      </c>
      <c r="B167" t="s">
        <v>2188</v>
      </c>
      <c r="C167" t="str">
        <f>"1801"</f>
        <v>1801</v>
      </c>
      <c r="D167" t="s">
        <v>2302</v>
      </c>
      <c r="F167" t="s">
        <v>70</v>
      </c>
      <c r="G167" t="s">
        <v>449</v>
      </c>
      <c r="H167" t="s">
        <v>2303</v>
      </c>
      <c r="I167" t="s">
        <v>89</v>
      </c>
      <c r="J167" s="2" t="s">
        <v>2304</v>
      </c>
      <c r="K167" t="s">
        <v>2305</v>
      </c>
      <c r="L167" t="s">
        <v>60</v>
      </c>
      <c r="M167" t="s">
        <v>2272</v>
      </c>
      <c r="N167" t="s">
        <v>62</v>
      </c>
      <c r="O167" t="str">
        <f>"08104"</f>
        <v>08104</v>
      </c>
      <c r="P167" t="s">
        <v>2305</v>
      </c>
      <c r="S167" t="s">
        <v>2272</v>
      </c>
      <c r="T167" t="s">
        <v>62</v>
      </c>
      <c r="U167" t="str">
        <f>"08104"</f>
        <v>08104</v>
      </c>
      <c r="W167">
        <v>9736420101</v>
      </c>
      <c r="X167" t="s">
        <v>77</v>
      </c>
      <c r="Y167" t="s">
        <v>2306</v>
      </c>
      <c r="Z167" t="s">
        <v>2307</v>
      </c>
      <c r="AA167" t="s">
        <v>112</v>
      </c>
      <c r="AB167" t="s">
        <v>70</v>
      </c>
      <c r="AC167" t="s">
        <v>2308</v>
      </c>
      <c r="AD167" t="s">
        <v>2309</v>
      </c>
      <c r="AE167" t="s">
        <v>181</v>
      </c>
      <c r="AF167" t="s">
        <v>70</v>
      </c>
      <c r="AG167" t="s">
        <v>2310</v>
      </c>
      <c r="AH167" t="s">
        <v>2311</v>
      </c>
      <c r="AI167" t="s">
        <v>73</v>
      </c>
      <c r="AK167" t="s">
        <v>243</v>
      </c>
      <c r="AL167" t="s">
        <v>1712</v>
      </c>
      <c r="AM167" t="s">
        <v>76</v>
      </c>
      <c r="AN167" t="s">
        <v>77</v>
      </c>
      <c r="AO167" t="s">
        <v>243</v>
      </c>
      <c r="AP167" t="s">
        <v>1712</v>
      </c>
      <c r="AQ167" t="s">
        <v>80</v>
      </c>
      <c r="AR167" t="s">
        <v>77</v>
      </c>
      <c r="AS167" t="s">
        <v>2306</v>
      </c>
      <c r="AT167" t="s">
        <v>2307</v>
      </c>
      <c r="AU167" t="s">
        <v>83</v>
      </c>
      <c r="AV167" t="s">
        <v>2312</v>
      </c>
      <c r="AW167" t="str">
        <f>"3400776"</f>
        <v>3400776</v>
      </c>
    </row>
    <row r="168" spans="1:49">
      <c r="A168" t="str">
        <f>"80"</f>
        <v>80</v>
      </c>
      <c r="B168" t="s">
        <v>2188</v>
      </c>
      <c r="C168" t="str">
        <f>"6107"</f>
        <v>6107</v>
      </c>
      <c r="D168" t="s">
        <v>2313</v>
      </c>
      <c r="E168" t="str">
        <f>"998"</f>
        <v>998</v>
      </c>
      <c r="F168" t="s">
        <v>65</v>
      </c>
      <c r="G168" t="s">
        <v>358</v>
      </c>
      <c r="H168" t="s">
        <v>2314</v>
      </c>
      <c r="I168" t="s">
        <v>89</v>
      </c>
      <c r="J168" s="2" t="s">
        <v>2315</v>
      </c>
      <c r="K168" t="s">
        <v>2316</v>
      </c>
      <c r="L168" t="s">
        <v>60</v>
      </c>
      <c r="M168" t="s">
        <v>2272</v>
      </c>
      <c r="N168" t="s">
        <v>62</v>
      </c>
      <c r="O168" t="str">
        <f>"08105"</f>
        <v>08105</v>
      </c>
      <c r="P168" t="s">
        <v>2316</v>
      </c>
      <c r="S168" t="s">
        <v>2272</v>
      </c>
      <c r="T168" t="s">
        <v>62</v>
      </c>
      <c r="U168" t="str">
        <f>"08105"</f>
        <v>08105</v>
      </c>
      <c r="W168" t="s">
        <v>2317</v>
      </c>
      <c r="X168" t="s">
        <v>70</v>
      </c>
      <c r="Y168" t="s">
        <v>2318</v>
      </c>
      <c r="Z168" t="s">
        <v>2319</v>
      </c>
      <c r="AA168" t="s">
        <v>135</v>
      </c>
      <c r="AB168" t="s">
        <v>54</v>
      </c>
      <c r="AC168" t="s">
        <v>716</v>
      </c>
      <c r="AD168" t="s">
        <v>2320</v>
      </c>
      <c r="AE168" t="s">
        <v>415</v>
      </c>
      <c r="AF168" t="s">
        <v>54</v>
      </c>
      <c r="AG168" t="s">
        <v>2321</v>
      </c>
      <c r="AH168" t="s">
        <v>1773</v>
      </c>
      <c r="AI168" t="s">
        <v>73</v>
      </c>
      <c r="AJ168" t="s">
        <v>54</v>
      </c>
      <c r="AK168" t="s">
        <v>155</v>
      </c>
      <c r="AL168" t="s">
        <v>2322</v>
      </c>
      <c r="AM168" t="s">
        <v>76</v>
      </c>
      <c r="AS168" t="s">
        <v>358</v>
      </c>
      <c r="AT168" t="s">
        <v>2314</v>
      </c>
      <c r="AU168" t="s">
        <v>83</v>
      </c>
      <c r="AV168" t="s">
        <v>2323</v>
      </c>
    </row>
    <row r="169" spans="1:49">
      <c r="A169" t="str">
        <f>"07"</f>
        <v>07</v>
      </c>
      <c r="B169" t="s">
        <v>2188</v>
      </c>
      <c r="C169" t="str">
        <f>"0800"</f>
        <v>0800</v>
      </c>
      <c r="D169" t="s">
        <v>2324</v>
      </c>
      <c r="F169" t="s">
        <v>65</v>
      </c>
      <c r="G169" t="s">
        <v>358</v>
      </c>
      <c r="H169" t="s">
        <v>2325</v>
      </c>
      <c r="I169" t="s">
        <v>89</v>
      </c>
      <c r="J169" s="2" t="s">
        <v>2326</v>
      </c>
      <c r="K169" t="s">
        <v>2327</v>
      </c>
      <c r="L169" t="s">
        <v>2328</v>
      </c>
      <c r="M169" t="s">
        <v>2329</v>
      </c>
      <c r="N169" t="s">
        <v>62</v>
      </c>
      <c r="O169" t="s">
        <v>2330</v>
      </c>
      <c r="P169" t="s">
        <v>2327</v>
      </c>
      <c r="Q169" t="s">
        <v>2331</v>
      </c>
      <c r="S169" t="s">
        <v>2329</v>
      </c>
      <c r="T169" t="s">
        <v>62</v>
      </c>
      <c r="U169" t="str">
        <f>"08034"</f>
        <v>08034</v>
      </c>
      <c r="V169" t="str">
        <f>"0391"</f>
        <v>0391</v>
      </c>
      <c r="W169" t="s">
        <v>2332</v>
      </c>
      <c r="X169" t="s">
        <v>54</v>
      </c>
      <c r="Y169" t="s">
        <v>435</v>
      </c>
      <c r="Z169" t="s">
        <v>2333</v>
      </c>
      <c r="AA169" t="s">
        <v>135</v>
      </c>
      <c r="AB169" t="s">
        <v>54</v>
      </c>
      <c r="AC169" t="s">
        <v>2334</v>
      </c>
      <c r="AD169" t="s">
        <v>2335</v>
      </c>
      <c r="AE169" t="s">
        <v>98</v>
      </c>
      <c r="AF169" t="s">
        <v>54</v>
      </c>
      <c r="AG169" t="s">
        <v>2334</v>
      </c>
      <c r="AH169" t="s">
        <v>2335</v>
      </c>
      <c r="AI169" t="s">
        <v>73</v>
      </c>
      <c r="AJ169" t="s">
        <v>54</v>
      </c>
      <c r="AK169" t="s">
        <v>2336</v>
      </c>
      <c r="AL169" t="s">
        <v>2337</v>
      </c>
      <c r="AM169" t="s">
        <v>76</v>
      </c>
      <c r="AN169" t="s">
        <v>77</v>
      </c>
      <c r="AO169" t="s">
        <v>667</v>
      </c>
      <c r="AP169" t="s">
        <v>2338</v>
      </c>
      <c r="AQ169" t="s">
        <v>80</v>
      </c>
      <c r="AR169" t="s">
        <v>77</v>
      </c>
      <c r="AS169" t="s">
        <v>166</v>
      </c>
      <c r="AT169" t="s">
        <v>2339</v>
      </c>
      <c r="AU169" t="s">
        <v>83</v>
      </c>
      <c r="AV169" t="s">
        <v>2340</v>
      </c>
      <c r="AW169" t="str">
        <f>"3403000"</f>
        <v>3403000</v>
      </c>
    </row>
    <row r="170" spans="1:49">
      <c r="A170" t="str">
        <f>"07"</f>
        <v>07</v>
      </c>
      <c r="B170" t="s">
        <v>2188</v>
      </c>
      <c r="C170" t="str">
        <f>"0810"</f>
        <v>0810</v>
      </c>
      <c r="D170" t="s">
        <v>2341</v>
      </c>
      <c r="K170" t="s">
        <v>2342</v>
      </c>
      <c r="L170" t="s">
        <v>60</v>
      </c>
      <c r="M170" t="s">
        <v>2343</v>
      </c>
      <c r="N170" t="s">
        <v>62</v>
      </c>
      <c r="O170" t="str">
        <f>"08089"</f>
        <v>08089</v>
      </c>
      <c r="P170" t="s">
        <v>2342</v>
      </c>
      <c r="S170" t="s">
        <v>2343</v>
      </c>
      <c r="T170" t="s">
        <v>62</v>
      </c>
      <c r="U170" t="str">
        <f>"08089"</f>
        <v>08089</v>
      </c>
      <c r="X170" t="s">
        <v>65</v>
      </c>
      <c r="Y170" t="s">
        <v>373</v>
      </c>
      <c r="Z170" t="s">
        <v>2344</v>
      </c>
      <c r="AA170" t="s">
        <v>135</v>
      </c>
      <c r="AV170" t="s">
        <v>2345</v>
      </c>
    </row>
    <row r="171" spans="1:49">
      <c r="A171" t="str">
        <f>"07"</f>
        <v>07</v>
      </c>
      <c r="B171" t="s">
        <v>2188</v>
      </c>
      <c r="C171" t="str">
        <f>"0880"</f>
        <v>0880</v>
      </c>
      <c r="D171" t="s">
        <v>2346</v>
      </c>
      <c r="F171" t="s">
        <v>54</v>
      </c>
      <c r="G171" t="s">
        <v>771</v>
      </c>
      <c r="H171" t="s">
        <v>1362</v>
      </c>
      <c r="I171" t="s">
        <v>89</v>
      </c>
      <c r="J171" s="2" t="s">
        <v>2347</v>
      </c>
      <c r="K171" t="s">
        <v>2348</v>
      </c>
      <c r="L171" t="s">
        <v>60</v>
      </c>
      <c r="M171" t="s">
        <v>2349</v>
      </c>
      <c r="N171" t="s">
        <v>62</v>
      </c>
      <c r="O171" t="str">
        <f>"08021"</f>
        <v>08021</v>
      </c>
      <c r="P171" t="s">
        <v>2348</v>
      </c>
      <c r="S171" t="s">
        <v>2349</v>
      </c>
      <c r="T171" t="s">
        <v>62</v>
      </c>
      <c r="U171" t="str">
        <f>"08021"</f>
        <v>08021</v>
      </c>
      <c r="W171" t="s">
        <v>2350</v>
      </c>
      <c r="X171" t="s">
        <v>70</v>
      </c>
      <c r="Y171" t="s">
        <v>1346</v>
      </c>
      <c r="Z171" t="s">
        <v>2351</v>
      </c>
      <c r="AA171" t="s">
        <v>112</v>
      </c>
      <c r="AB171" t="s">
        <v>70</v>
      </c>
      <c r="AC171" t="s">
        <v>71</v>
      </c>
      <c r="AD171" t="s">
        <v>1013</v>
      </c>
      <c r="AE171" t="s">
        <v>98</v>
      </c>
      <c r="AF171" t="s">
        <v>77</v>
      </c>
      <c r="AG171" t="s">
        <v>2352</v>
      </c>
      <c r="AH171" t="s">
        <v>2353</v>
      </c>
      <c r="AI171" t="s">
        <v>73</v>
      </c>
      <c r="AJ171" t="s">
        <v>70</v>
      </c>
      <c r="AK171" t="s">
        <v>771</v>
      </c>
      <c r="AL171" t="s">
        <v>1362</v>
      </c>
      <c r="AM171" t="s">
        <v>76</v>
      </c>
      <c r="AR171" t="s">
        <v>54</v>
      </c>
      <c r="AS171" t="s">
        <v>771</v>
      </c>
      <c r="AT171" t="s">
        <v>1362</v>
      </c>
      <c r="AU171" t="s">
        <v>83</v>
      </c>
      <c r="AV171" t="s">
        <v>2354</v>
      </c>
      <c r="AW171" t="str">
        <f>"3403240"</f>
        <v>3403240</v>
      </c>
    </row>
    <row r="172" spans="1:49">
      <c r="A172" t="str">
        <f>"07"</f>
        <v>07</v>
      </c>
      <c r="B172" t="s">
        <v>2188</v>
      </c>
      <c r="C172" t="str">
        <f>"0940"</f>
        <v>0940</v>
      </c>
      <c r="D172" t="s">
        <v>2355</v>
      </c>
      <c r="F172" t="s">
        <v>65</v>
      </c>
      <c r="G172" t="s">
        <v>4960</v>
      </c>
      <c r="H172" t="s">
        <v>8179</v>
      </c>
      <c r="I172" t="s">
        <v>89</v>
      </c>
      <c r="J172" s="3" t="s">
        <v>8180</v>
      </c>
      <c r="K172" t="s">
        <v>2356</v>
      </c>
      <c r="L172" t="s">
        <v>60</v>
      </c>
      <c r="M172" t="s">
        <v>2357</v>
      </c>
      <c r="N172" t="s">
        <v>62</v>
      </c>
      <c r="O172" t="str">
        <f>"08108"</f>
        <v>08108</v>
      </c>
      <c r="P172" t="s">
        <v>2356</v>
      </c>
      <c r="S172" t="s">
        <v>2357</v>
      </c>
      <c r="T172" t="s">
        <v>62</v>
      </c>
      <c r="U172" t="str">
        <f>"08108"</f>
        <v>08108</v>
      </c>
      <c r="W172" t="s">
        <v>2358</v>
      </c>
      <c r="X172" t="s">
        <v>54</v>
      </c>
      <c r="Y172" t="s">
        <v>2359</v>
      </c>
      <c r="Z172" t="s">
        <v>958</v>
      </c>
      <c r="AA172" t="s">
        <v>68</v>
      </c>
      <c r="AB172" t="s">
        <v>65</v>
      </c>
      <c r="AC172" t="s">
        <v>1684</v>
      </c>
      <c r="AD172" t="s">
        <v>2360</v>
      </c>
      <c r="AE172" t="s">
        <v>415</v>
      </c>
      <c r="AF172" t="s">
        <v>77</v>
      </c>
      <c r="AG172" t="s">
        <v>2361</v>
      </c>
      <c r="AH172" t="s">
        <v>2362</v>
      </c>
      <c r="AI172" t="s">
        <v>73</v>
      </c>
      <c r="AJ172" t="s">
        <v>77</v>
      </c>
      <c r="AK172" t="s">
        <v>2361</v>
      </c>
      <c r="AL172" t="s">
        <v>2362</v>
      </c>
      <c r="AM172" t="s">
        <v>76</v>
      </c>
      <c r="AN172" t="s">
        <v>77</v>
      </c>
      <c r="AO172" t="s">
        <v>120</v>
      </c>
      <c r="AP172" t="s">
        <v>2363</v>
      </c>
      <c r="AQ172" t="s">
        <v>80</v>
      </c>
      <c r="AR172" t="s">
        <v>77</v>
      </c>
      <c r="AS172" t="s">
        <v>844</v>
      </c>
      <c r="AT172" t="s">
        <v>2364</v>
      </c>
      <c r="AU172" t="s">
        <v>83</v>
      </c>
      <c r="AV172" t="s">
        <v>2365</v>
      </c>
      <c r="AW172" t="str">
        <f>"3403420"</f>
        <v>3403420</v>
      </c>
    </row>
    <row r="173" spans="1:49">
      <c r="A173" t="str">
        <f>"07"</f>
        <v>07</v>
      </c>
      <c r="B173" t="s">
        <v>2188</v>
      </c>
      <c r="C173" t="str">
        <f>"1255"</f>
        <v>1255</v>
      </c>
      <c r="D173" t="s">
        <v>2366</v>
      </c>
      <c r="F173" t="s">
        <v>77</v>
      </c>
      <c r="G173" t="s">
        <v>873</v>
      </c>
      <c r="H173" t="s">
        <v>2367</v>
      </c>
      <c r="I173" t="s">
        <v>57</v>
      </c>
      <c r="J173" s="2" t="s">
        <v>2368</v>
      </c>
      <c r="K173" t="s">
        <v>2369</v>
      </c>
      <c r="L173" t="s">
        <v>2370</v>
      </c>
      <c r="M173" t="s">
        <v>2371</v>
      </c>
      <c r="N173" t="s">
        <v>62</v>
      </c>
      <c r="O173" t="str">
        <f>"08043"</f>
        <v>08043</v>
      </c>
      <c r="P173" t="s">
        <v>2369</v>
      </c>
      <c r="Q173" t="s">
        <v>2372</v>
      </c>
      <c r="S173" t="s">
        <v>2371</v>
      </c>
      <c r="T173" t="s">
        <v>62</v>
      </c>
      <c r="U173" t="str">
        <f>"08043"</f>
        <v>08043</v>
      </c>
      <c r="W173" t="s">
        <v>2373</v>
      </c>
      <c r="X173" t="s">
        <v>77</v>
      </c>
      <c r="Y173" t="s">
        <v>2374</v>
      </c>
      <c r="Z173" t="s">
        <v>2375</v>
      </c>
      <c r="AA173" t="s">
        <v>135</v>
      </c>
      <c r="AB173" t="s">
        <v>65</v>
      </c>
      <c r="AC173" t="s">
        <v>541</v>
      </c>
      <c r="AD173" t="s">
        <v>1229</v>
      </c>
      <c r="AE173" t="s">
        <v>98</v>
      </c>
      <c r="AF173" t="s">
        <v>77</v>
      </c>
      <c r="AG173" t="s">
        <v>243</v>
      </c>
      <c r="AH173" t="s">
        <v>2376</v>
      </c>
      <c r="AI173" t="s">
        <v>73</v>
      </c>
      <c r="AJ173" t="s">
        <v>77</v>
      </c>
      <c r="AK173" t="s">
        <v>243</v>
      </c>
      <c r="AL173" t="s">
        <v>2377</v>
      </c>
      <c r="AM173" t="s">
        <v>76</v>
      </c>
      <c r="AN173" t="s">
        <v>77</v>
      </c>
      <c r="AO173" t="s">
        <v>2378</v>
      </c>
      <c r="AP173" t="s">
        <v>2379</v>
      </c>
      <c r="AQ173" t="s">
        <v>80</v>
      </c>
      <c r="AR173" t="s">
        <v>77</v>
      </c>
      <c r="AS173" t="s">
        <v>273</v>
      </c>
      <c r="AT173" t="s">
        <v>2380</v>
      </c>
      <c r="AU173" t="s">
        <v>83</v>
      </c>
      <c r="AV173" t="s">
        <v>2381</v>
      </c>
      <c r="AW173" t="str">
        <f>"3404380"</f>
        <v>3404380</v>
      </c>
    </row>
    <row r="174" spans="1:49">
      <c r="A174" t="str">
        <f>"80"</f>
        <v>80</v>
      </c>
      <c r="B174" t="s">
        <v>2188</v>
      </c>
      <c r="C174" t="str">
        <f>"6232"</f>
        <v>6232</v>
      </c>
      <c r="D174" t="s">
        <v>2382</v>
      </c>
      <c r="E174" t="str">
        <f>"920"</f>
        <v>920</v>
      </c>
      <c r="F174" t="s">
        <v>65</v>
      </c>
      <c r="G174" t="s">
        <v>724</v>
      </c>
      <c r="H174" t="s">
        <v>2383</v>
      </c>
      <c r="I174" t="s">
        <v>128</v>
      </c>
      <c r="J174" s="2" t="s">
        <v>2384</v>
      </c>
      <c r="K174" t="s">
        <v>2385</v>
      </c>
      <c r="L174" t="s">
        <v>2386</v>
      </c>
      <c r="M174" t="s">
        <v>2272</v>
      </c>
      <c r="N174" t="s">
        <v>62</v>
      </c>
      <c r="O174" t="str">
        <f>"08102"</f>
        <v>08102</v>
      </c>
      <c r="P174" t="s">
        <v>2385</v>
      </c>
      <c r="Q174" t="s">
        <v>2387</v>
      </c>
      <c r="S174" t="s">
        <v>2272</v>
      </c>
      <c r="T174" t="s">
        <v>62</v>
      </c>
      <c r="U174" t="str">
        <f>"08102"</f>
        <v>08102</v>
      </c>
      <c r="W174" t="s">
        <v>2388</v>
      </c>
      <c r="X174" t="s">
        <v>54</v>
      </c>
      <c r="Y174" t="s">
        <v>155</v>
      </c>
      <c r="Z174" t="s">
        <v>2389</v>
      </c>
      <c r="AA174" t="s">
        <v>135</v>
      </c>
      <c r="AB174" t="s">
        <v>65</v>
      </c>
      <c r="AC174" t="s">
        <v>519</v>
      </c>
      <c r="AD174" t="s">
        <v>2277</v>
      </c>
      <c r="AE174" t="s">
        <v>181</v>
      </c>
      <c r="AF174" t="s">
        <v>54</v>
      </c>
      <c r="AG174" t="s">
        <v>1910</v>
      </c>
      <c r="AH174" t="s">
        <v>2390</v>
      </c>
      <c r="AI174" t="s">
        <v>73</v>
      </c>
      <c r="AJ174" t="s">
        <v>70</v>
      </c>
      <c r="AK174" t="s">
        <v>2391</v>
      </c>
      <c r="AL174" t="s">
        <v>2392</v>
      </c>
      <c r="AM174" t="s">
        <v>2393</v>
      </c>
      <c r="AN174" t="s">
        <v>65</v>
      </c>
      <c r="AO174" t="s">
        <v>724</v>
      </c>
      <c r="AP174" t="s">
        <v>2383</v>
      </c>
      <c r="AQ174" t="s">
        <v>80</v>
      </c>
      <c r="AR174" t="s">
        <v>54</v>
      </c>
      <c r="AS174" t="s">
        <v>155</v>
      </c>
      <c r="AT174" t="s">
        <v>2389</v>
      </c>
      <c r="AU174" t="s">
        <v>83</v>
      </c>
      <c r="AV174" t="s">
        <v>2394</v>
      </c>
      <c r="AW174" t="str">
        <f>"3400079"</f>
        <v>3400079</v>
      </c>
    </row>
    <row r="175" spans="1:49">
      <c r="A175" t="str">
        <f>"80"</f>
        <v>80</v>
      </c>
      <c r="B175" t="s">
        <v>2188</v>
      </c>
      <c r="C175" t="str">
        <f>"6240"</f>
        <v>6240</v>
      </c>
      <c r="D175" t="s">
        <v>2395</v>
      </c>
      <c r="E175" t="str">
        <f>"900"</f>
        <v>900</v>
      </c>
      <c r="G175" t="s">
        <v>1885</v>
      </c>
      <c r="H175" t="s">
        <v>2396</v>
      </c>
      <c r="I175" t="s">
        <v>128</v>
      </c>
      <c r="J175" s="2" t="s">
        <v>2397</v>
      </c>
      <c r="K175" t="s">
        <v>2398</v>
      </c>
      <c r="L175" t="s">
        <v>60</v>
      </c>
      <c r="M175" t="s">
        <v>2272</v>
      </c>
      <c r="N175" t="s">
        <v>62</v>
      </c>
      <c r="O175" t="str">
        <f>"08104"</f>
        <v>08104</v>
      </c>
      <c r="P175" t="s">
        <v>2398</v>
      </c>
      <c r="S175" t="s">
        <v>2272</v>
      </c>
      <c r="T175" t="s">
        <v>62</v>
      </c>
      <c r="U175" t="str">
        <f>"08104"</f>
        <v>08104</v>
      </c>
      <c r="W175" t="s">
        <v>2399</v>
      </c>
      <c r="Y175" t="s">
        <v>120</v>
      </c>
      <c r="Z175" t="s">
        <v>491</v>
      </c>
      <c r="AA175" t="s">
        <v>68</v>
      </c>
      <c r="AC175" t="s">
        <v>2025</v>
      </c>
      <c r="AD175" t="s">
        <v>2400</v>
      </c>
      <c r="AE175" t="s">
        <v>181</v>
      </c>
      <c r="AG175" t="s">
        <v>2401</v>
      </c>
      <c r="AH175" t="s">
        <v>2402</v>
      </c>
      <c r="AI175" t="s">
        <v>73</v>
      </c>
      <c r="AK175" t="s">
        <v>1885</v>
      </c>
      <c r="AL175" t="s">
        <v>2396</v>
      </c>
      <c r="AM175" t="s">
        <v>76</v>
      </c>
      <c r="AO175" t="s">
        <v>1196</v>
      </c>
      <c r="AP175" t="s">
        <v>2403</v>
      </c>
      <c r="AQ175" t="s">
        <v>80</v>
      </c>
      <c r="AS175" t="s">
        <v>1885</v>
      </c>
      <c r="AT175" t="s">
        <v>2396</v>
      </c>
      <c r="AU175" t="s">
        <v>83</v>
      </c>
      <c r="AV175" t="s">
        <v>2404</v>
      </c>
      <c r="AW175" t="str">
        <f>"3400080"</f>
        <v>3400080</v>
      </c>
    </row>
    <row r="176" spans="1:49">
      <c r="A176" t="str">
        <f t="shared" ref="A176:A182" si="8">"07"</f>
        <v>07</v>
      </c>
      <c r="B176" t="s">
        <v>2188</v>
      </c>
      <c r="C176" t="str">
        <f>"1720"</f>
        <v>1720</v>
      </c>
      <c r="D176" t="s">
        <v>2405</v>
      </c>
      <c r="F176" t="s">
        <v>77</v>
      </c>
      <c r="G176" t="s">
        <v>1695</v>
      </c>
      <c r="H176" t="s">
        <v>2406</v>
      </c>
      <c r="I176" t="s">
        <v>57</v>
      </c>
      <c r="J176" s="2" t="s">
        <v>2407</v>
      </c>
      <c r="K176" t="s">
        <v>2408</v>
      </c>
      <c r="L176" t="s">
        <v>60</v>
      </c>
      <c r="M176" t="s">
        <v>2409</v>
      </c>
      <c r="N176" t="s">
        <v>62</v>
      </c>
      <c r="O176" t="str">
        <f>"08026"</f>
        <v>08026</v>
      </c>
      <c r="P176" t="s">
        <v>2408</v>
      </c>
      <c r="S176" t="s">
        <v>2409</v>
      </c>
      <c r="T176" t="s">
        <v>62</v>
      </c>
      <c r="U176" t="str">
        <f>"08026"</f>
        <v>08026</v>
      </c>
      <c r="W176" t="s">
        <v>2410</v>
      </c>
      <c r="X176" t="s">
        <v>77</v>
      </c>
      <c r="Y176" t="s">
        <v>182</v>
      </c>
      <c r="Z176" t="s">
        <v>2411</v>
      </c>
      <c r="AA176" t="s">
        <v>112</v>
      </c>
      <c r="AB176" t="s">
        <v>54</v>
      </c>
      <c r="AC176" t="s">
        <v>2412</v>
      </c>
      <c r="AD176" t="s">
        <v>2413</v>
      </c>
      <c r="AE176" t="s">
        <v>415</v>
      </c>
      <c r="AF176" t="s">
        <v>77</v>
      </c>
      <c r="AG176" t="s">
        <v>1695</v>
      </c>
      <c r="AH176" t="s">
        <v>2406</v>
      </c>
      <c r="AI176" t="s">
        <v>73</v>
      </c>
      <c r="AJ176" t="s">
        <v>77</v>
      </c>
      <c r="AK176" t="s">
        <v>1695</v>
      </c>
      <c r="AL176" t="s">
        <v>2406</v>
      </c>
      <c r="AM176" t="s">
        <v>76</v>
      </c>
      <c r="AN176" t="s">
        <v>77</v>
      </c>
      <c r="AO176" t="s">
        <v>1695</v>
      </c>
      <c r="AP176" t="s">
        <v>2406</v>
      </c>
      <c r="AQ176" t="s">
        <v>80</v>
      </c>
      <c r="AR176" t="s">
        <v>54</v>
      </c>
      <c r="AS176" t="s">
        <v>541</v>
      </c>
      <c r="AT176" t="s">
        <v>2414</v>
      </c>
      <c r="AU176" t="s">
        <v>83</v>
      </c>
      <c r="AV176" t="s">
        <v>2415</v>
      </c>
      <c r="AW176" t="str">
        <f>"3405850"</f>
        <v>3405850</v>
      </c>
    </row>
    <row r="177" spans="1:49">
      <c r="A177" t="str">
        <f t="shared" si="8"/>
        <v>07</v>
      </c>
      <c r="B177" t="s">
        <v>2188</v>
      </c>
      <c r="C177" t="str">
        <f>"1770"</f>
        <v>1770</v>
      </c>
      <c r="D177" t="s">
        <v>2416</v>
      </c>
      <c r="F177" t="s">
        <v>65</v>
      </c>
      <c r="G177" t="s">
        <v>1067</v>
      </c>
      <c r="H177" t="s">
        <v>2103</v>
      </c>
      <c r="I177" t="s">
        <v>89</v>
      </c>
      <c r="J177" s="2" t="s">
        <v>2417</v>
      </c>
      <c r="K177" t="s">
        <v>2418</v>
      </c>
      <c r="L177" t="s">
        <v>60</v>
      </c>
      <c r="M177" t="s">
        <v>2419</v>
      </c>
      <c r="N177" t="s">
        <v>62</v>
      </c>
      <c r="O177" t="str">
        <f>"08030"</f>
        <v>08030</v>
      </c>
      <c r="P177" t="s">
        <v>2418</v>
      </c>
      <c r="S177" t="s">
        <v>2419</v>
      </c>
      <c r="T177" t="s">
        <v>62</v>
      </c>
      <c r="U177" t="str">
        <f>"08030"</f>
        <v>08030</v>
      </c>
      <c r="W177" t="s">
        <v>2420</v>
      </c>
      <c r="X177" t="s">
        <v>70</v>
      </c>
      <c r="Y177" t="s">
        <v>383</v>
      </c>
      <c r="Z177" t="s">
        <v>384</v>
      </c>
      <c r="AA177" t="s">
        <v>135</v>
      </c>
      <c r="AB177" t="s">
        <v>70</v>
      </c>
      <c r="AC177" t="s">
        <v>2421</v>
      </c>
      <c r="AD177" t="s">
        <v>2422</v>
      </c>
      <c r="AE177" t="s">
        <v>69</v>
      </c>
      <c r="AF177" t="s">
        <v>77</v>
      </c>
      <c r="AG177" t="s">
        <v>273</v>
      </c>
      <c r="AH177" t="s">
        <v>2423</v>
      </c>
      <c r="AI177" t="s">
        <v>73</v>
      </c>
      <c r="AJ177" t="s">
        <v>70</v>
      </c>
      <c r="AK177" t="s">
        <v>607</v>
      </c>
      <c r="AL177" t="s">
        <v>1981</v>
      </c>
      <c r="AM177" t="s">
        <v>76</v>
      </c>
      <c r="AN177" t="s">
        <v>54</v>
      </c>
      <c r="AO177" t="s">
        <v>651</v>
      </c>
      <c r="AP177" t="s">
        <v>2424</v>
      </c>
      <c r="AQ177" t="s">
        <v>80</v>
      </c>
      <c r="AR177" t="s">
        <v>65</v>
      </c>
      <c r="AS177" t="s">
        <v>1067</v>
      </c>
      <c r="AT177" t="s">
        <v>2103</v>
      </c>
      <c r="AU177" t="s">
        <v>83</v>
      </c>
      <c r="AV177" t="s">
        <v>2425</v>
      </c>
      <c r="AW177" t="str">
        <f>"3406000"</f>
        <v>3406000</v>
      </c>
    </row>
    <row r="178" spans="1:49">
      <c r="A178" t="str">
        <f t="shared" si="8"/>
        <v>07</v>
      </c>
      <c r="B178" t="s">
        <v>2188</v>
      </c>
      <c r="C178" t="str">
        <f>"1780"</f>
        <v>1780</v>
      </c>
      <c r="D178" t="s">
        <v>2426</v>
      </c>
      <c r="F178" t="s">
        <v>77</v>
      </c>
      <c r="G178" t="s">
        <v>328</v>
      </c>
      <c r="H178" t="s">
        <v>2427</v>
      </c>
      <c r="I178" t="s">
        <v>89</v>
      </c>
      <c r="J178" s="2" t="s">
        <v>2428</v>
      </c>
      <c r="K178" t="s">
        <v>2429</v>
      </c>
      <c r="L178" t="s">
        <v>60</v>
      </c>
      <c r="M178" t="s">
        <v>2250</v>
      </c>
      <c r="N178" t="s">
        <v>62</v>
      </c>
      <c r="O178" t="str">
        <f>"08012"</f>
        <v>08012</v>
      </c>
      <c r="P178" t="s">
        <v>2429</v>
      </c>
      <c r="S178" t="s">
        <v>2250</v>
      </c>
      <c r="T178" t="s">
        <v>62</v>
      </c>
      <c r="U178" t="str">
        <f>"08012"</f>
        <v>08012</v>
      </c>
      <c r="W178" t="s">
        <v>2430</v>
      </c>
      <c r="X178" t="s">
        <v>54</v>
      </c>
      <c r="Y178" t="s">
        <v>452</v>
      </c>
      <c r="Z178" t="s">
        <v>2431</v>
      </c>
      <c r="AA178" t="s">
        <v>112</v>
      </c>
      <c r="AB178" t="s">
        <v>65</v>
      </c>
      <c r="AC178" t="s">
        <v>2432</v>
      </c>
      <c r="AD178" t="s">
        <v>2433</v>
      </c>
      <c r="AE178" t="s">
        <v>98</v>
      </c>
      <c r="AF178" t="s">
        <v>77</v>
      </c>
      <c r="AG178" t="s">
        <v>2434</v>
      </c>
      <c r="AH178" t="s">
        <v>2435</v>
      </c>
      <c r="AI178" t="s">
        <v>73</v>
      </c>
      <c r="AJ178" t="s">
        <v>77</v>
      </c>
      <c r="AK178" t="s">
        <v>509</v>
      </c>
      <c r="AL178" t="s">
        <v>2436</v>
      </c>
      <c r="AM178" t="s">
        <v>76</v>
      </c>
      <c r="AN178" t="s">
        <v>77</v>
      </c>
      <c r="AO178" t="s">
        <v>78</v>
      </c>
      <c r="AP178" t="s">
        <v>1241</v>
      </c>
      <c r="AQ178" t="s">
        <v>80</v>
      </c>
      <c r="AR178" t="s">
        <v>54</v>
      </c>
      <c r="AS178" t="s">
        <v>2160</v>
      </c>
      <c r="AT178" t="s">
        <v>2437</v>
      </c>
      <c r="AU178" t="s">
        <v>83</v>
      </c>
      <c r="AV178" t="s">
        <v>2438</v>
      </c>
      <c r="AW178" t="str">
        <f>"3406030"</f>
        <v>3406030</v>
      </c>
    </row>
    <row r="179" spans="1:49">
      <c r="A179" t="str">
        <f t="shared" si="8"/>
        <v>07</v>
      </c>
      <c r="B179" t="s">
        <v>2188</v>
      </c>
      <c r="C179" t="str">
        <f>"1880"</f>
        <v>1880</v>
      </c>
      <c r="D179" t="s">
        <v>2439</v>
      </c>
      <c r="F179" t="s">
        <v>77</v>
      </c>
      <c r="G179" t="s">
        <v>120</v>
      </c>
      <c r="H179" t="s">
        <v>1293</v>
      </c>
      <c r="I179" t="s">
        <v>89</v>
      </c>
      <c r="J179" s="2" t="s">
        <v>2440</v>
      </c>
      <c r="K179" t="s">
        <v>2441</v>
      </c>
      <c r="L179" t="s">
        <v>60</v>
      </c>
      <c r="M179" t="s">
        <v>2442</v>
      </c>
      <c r="N179" t="s">
        <v>62</v>
      </c>
      <c r="O179" t="str">
        <f>"08035"</f>
        <v>08035</v>
      </c>
      <c r="P179" t="s">
        <v>2441</v>
      </c>
      <c r="S179" t="s">
        <v>2442</v>
      </c>
      <c r="T179" t="s">
        <v>62</v>
      </c>
      <c r="U179" t="str">
        <f>"08035"</f>
        <v>08035</v>
      </c>
      <c r="W179" t="s">
        <v>2443</v>
      </c>
      <c r="X179" t="s">
        <v>77</v>
      </c>
      <c r="Y179" t="s">
        <v>78</v>
      </c>
      <c r="Z179" t="s">
        <v>1665</v>
      </c>
      <c r="AA179" t="s">
        <v>112</v>
      </c>
      <c r="AB179" t="s">
        <v>54</v>
      </c>
      <c r="AC179" t="s">
        <v>2444</v>
      </c>
      <c r="AD179" t="s">
        <v>2445</v>
      </c>
      <c r="AE179" t="s">
        <v>98</v>
      </c>
      <c r="AF179" t="s">
        <v>77</v>
      </c>
      <c r="AG179" t="s">
        <v>358</v>
      </c>
      <c r="AH179" t="s">
        <v>2446</v>
      </c>
      <c r="AI179" t="s">
        <v>73</v>
      </c>
      <c r="AJ179" t="s">
        <v>70</v>
      </c>
      <c r="AK179" t="s">
        <v>291</v>
      </c>
      <c r="AL179" t="s">
        <v>2447</v>
      </c>
      <c r="AM179" t="s">
        <v>76</v>
      </c>
      <c r="AN179" t="s">
        <v>77</v>
      </c>
      <c r="AO179" t="s">
        <v>287</v>
      </c>
      <c r="AP179" t="s">
        <v>2050</v>
      </c>
      <c r="AQ179" t="s">
        <v>80</v>
      </c>
      <c r="AR179" t="s">
        <v>77</v>
      </c>
      <c r="AS179" t="s">
        <v>78</v>
      </c>
      <c r="AT179" t="s">
        <v>1665</v>
      </c>
      <c r="AU179" t="s">
        <v>83</v>
      </c>
      <c r="AV179" t="s">
        <v>2448</v>
      </c>
      <c r="AW179" t="str">
        <f>"3406330"</f>
        <v>3406330</v>
      </c>
    </row>
    <row r="180" spans="1:49">
      <c r="A180" t="str">
        <f t="shared" si="8"/>
        <v>07</v>
      </c>
      <c r="B180" t="s">
        <v>2188</v>
      </c>
      <c r="C180" t="str">
        <f>"1890"</f>
        <v>1890</v>
      </c>
      <c r="D180" t="s">
        <v>2449</v>
      </c>
      <c r="F180" t="s">
        <v>65</v>
      </c>
      <c r="G180" t="s">
        <v>873</v>
      </c>
      <c r="H180" t="s">
        <v>2450</v>
      </c>
      <c r="I180" t="s">
        <v>89</v>
      </c>
      <c r="J180" s="2" t="s">
        <v>2451</v>
      </c>
      <c r="K180" t="s">
        <v>2452</v>
      </c>
      <c r="L180" t="s">
        <v>60</v>
      </c>
      <c r="M180" t="s">
        <v>2453</v>
      </c>
      <c r="N180" t="s">
        <v>62</v>
      </c>
      <c r="O180" t="s">
        <v>2454</v>
      </c>
      <c r="P180" t="s">
        <v>2452</v>
      </c>
      <c r="S180" t="s">
        <v>2453</v>
      </c>
      <c r="T180" t="s">
        <v>62</v>
      </c>
      <c r="U180" t="str">
        <f>"08108"</f>
        <v>08108</v>
      </c>
      <c r="V180" t="str">
        <f>"3398"</f>
        <v>3398</v>
      </c>
      <c r="W180" t="s">
        <v>2455</v>
      </c>
      <c r="X180" t="s">
        <v>70</v>
      </c>
      <c r="Y180" t="s">
        <v>2456</v>
      </c>
      <c r="Z180" t="s">
        <v>2457</v>
      </c>
      <c r="AA180" t="s">
        <v>135</v>
      </c>
      <c r="AB180" t="s">
        <v>54</v>
      </c>
      <c r="AC180" t="s">
        <v>2458</v>
      </c>
      <c r="AD180" t="s">
        <v>2459</v>
      </c>
      <c r="AE180" t="s">
        <v>913</v>
      </c>
      <c r="AF180" t="s">
        <v>77</v>
      </c>
      <c r="AG180" t="s">
        <v>367</v>
      </c>
      <c r="AH180" t="s">
        <v>2460</v>
      </c>
      <c r="AI180" t="s">
        <v>73</v>
      </c>
      <c r="AJ180" t="s">
        <v>77</v>
      </c>
      <c r="AK180" t="s">
        <v>478</v>
      </c>
      <c r="AL180" t="s">
        <v>2461</v>
      </c>
      <c r="AM180" t="s">
        <v>76</v>
      </c>
      <c r="AN180" t="s">
        <v>77</v>
      </c>
      <c r="AO180" t="s">
        <v>478</v>
      </c>
      <c r="AP180" t="s">
        <v>2461</v>
      </c>
      <c r="AQ180" t="s">
        <v>80</v>
      </c>
      <c r="AR180" t="s">
        <v>65</v>
      </c>
      <c r="AS180" t="s">
        <v>233</v>
      </c>
      <c r="AT180" t="s">
        <v>2462</v>
      </c>
      <c r="AU180" t="s">
        <v>83</v>
      </c>
      <c r="AV180" t="s">
        <v>2463</v>
      </c>
      <c r="AW180" t="str">
        <f>"3406360"</f>
        <v>3406360</v>
      </c>
    </row>
    <row r="181" spans="1:49">
      <c r="A181" t="str">
        <f t="shared" si="8"/>
        <v>07</v>
      </c>
      <c r="B181" t="s">
        <v>2188</v>
      </c>
      <c r="C181" t="str">
        <f>"1900"</f>
        <v>1900</v>
      </c>
      <c r="D181" t="s">
        <v>2464</v>
      </c>
      <c r="F181" t="s">
        <v>77</v>
      </c>
      <c r="G181" t="s">
        <v>1012</v>
      </c>
      <c r="H181" t="s">
        <v>2465</v>
      </c>
      <c r="I181" t="s">
        <v>89</v>
      </c>
      <c r="J181" s="2" t="s">
        <v>2466</v>
      </c>
      <c r="K181" t="s">
        <v>2467</v>
      </c>
      <c r="L181" t="s">
        <v>60</v>
      </c>
      <c r="M181" t="s">
        <v>2468</v>
      </c>
      <c r="N181" t="s">
        <v>62</v>
      </c>
      <c r="O181" t="str">
        <f>"08033"</f>
        <v>08033</v>
      </c>
      <c r="P181" t="s">
        <v>2467</v>
      </c>
      <c r="S181" t="s">
        <v>2468</v>
      </c>
      <c r="T181" t="s">
        <v>62</v>
      </c>
      <c r="U181" t="str">
        <f>"08033"</f>
        <v>08033</v>
      </c>
      <c r="W181" t="s">
        <v>2469</v>
      </c>
      <c r="X181" t="s">
        <v>77</v>
      </c>
      <c r="Y181" t="s">
        <v>120</v>
      </c>
      <c r="Z181" t="s">
        <v>2470</v>
      </c>
      <c r="AA181" t="s">
        <v>112</v>
      </c>
      <c r="AB181" t="s">
        <v>70</v>
      </c>
      <c r="AC181" t="s">
        <v>2471</v>
      </c>
      <c r="AD181" t="s">
        <v>540</v>
      </c>
      <c r="AE181" t="s">
        <v>98</v>
      </c>
      <c r="AG181" t="s">
        <v>2472</v>
      </c>
      <c r="AH181" t="s">
        <v>2473</v>
      </c>
      <c r="AI181" t="s">
        <v>73</v>
      </c>
      <c r="AK181" t="s">
        <v>2472</v>
      </c>
      <c r="AL181" t="s">
        <v>2473</v>
      </c>
      <c r="AM181" t="s">
        <v>76</v>
      </c>
      <c r="AO181" t="s">
        <v>328</v>
      </c>
      <c r="AP181" t="s">
        <v>1622</v>
      </c>
      <c r="AQ181" t="s">
        <v>80</v>
      </c>
      <c r="AS181" t="s">
        <v>2472</v>
      </c>
      <c r="AT181" t="s">
        <v>2473</v>
      </c>
      <c r="AU181" t="s">
        <v>83</v>
      </c>
      <c r="AV181" t="s">
        <v>2474</v>
      </c>
      <c r="AW181" t="str">
        <f>"3406390"</f>
        <v>3406390</v>
      </c>
    </row>
    <row r="182" spans="1:49">
      <c r="A182" t="str">
        <f t="shared" si="8"/>
        <v>07</v>
      </c>
      <c r="B182" t="s">
        <v>2188</v>
      </c>
      <c r="C182" t="str">
        <f>"2130"</f>
        <v>2130</v>
      </c>
      <c r="D182" t="s">
        <v>2475</v>
      </c>
      <c r="G182" t="s">
        <v>319</v>
      </c>
      <c r="H182" t="s">
        <v>2476</v>
      </c>
      <c r="I182" t="s">
        <v>57</v>
      </c>
      <c r="J182" s="2" t="s">
        <v>2477</v>
      </c>
      <c r="K182" t="s">
        <v>2478</v>
      </c>
      <c r="L182" t="s">
        <v>60</v>
      </c>
      <c r="M182" t="s">
        <v>2479</v>
      </c>
      <c r="N182" t="s">
        <v>62</v>
      </c>
      <c r="O182" t="str">
        <f>"08084"</f>
        <v>08084</v>
      </c>
      <c r="P182" t="s">
        <v>2478</v>
      </c>
      <c r="S182" t="s">
        <v>2479</v>
      </c>
      <c r="T182" t="s">
        <v>62</v>
      </c>
      <c r="U182" t="str">
        <f>"08084"</f>
        <v>08084</v>
      </c>
      <c r="W182">
        <v>8567842917</v>
      </c>
      <c r="X182" t="s">
        <v>54</v>
      </c>
      <c r="Y182" t="s">
        <v>2480</v>
      </c>
      <c r="Z182" t="s">
        <v>1753</v>
      </c>
      <c r="AA182" t="s">
        <v>68</v>
      </c>
      <c r="AC182" t="s">
        <v>2481</v>
      </c>
      <c r="AD182" t="s">
        <v>2482</v>
      </c>
      <c r="AE182" t="s">
        <v>181</v>
      </c>
      <c r="AG182" t="s">
        <v>1128</v>
      </c>
      <c r="AH182" t="s">
        <v>2483</v>
      </c>
      <c r="AI182" t="s">
        <v>73</v>
      </c>
      <c r="AK182" t="s">
        <v>2480</v>
      </c>
      <c r="AL182" t="s">
        <v>1753</v>
      </c>
      <c r="AM182" t="s">
        <v>76</v>
      </c>
      <c r="AS182" t="s">
        <v>1128</v>
      </c>
      <c r="AT182" t="s">
        <v>2483</v>
      </c>
      <c r="AU182" t="s">
        <v>83</v>
      </c>
      <c r="AV182" t="s">
        <v>2484</v>
      </c>
    </row>
    <row r="183" spans="1:49">
      <c r="A183" t="str">
        <f>"80"</f>
        <v>80</v>
      </c>
      <c r="B183" t="s">
        <v>2188</v>
      </c>
      <c r="C183" t="str">
        <f>"6086"</f>
        <v>6086</v>
      </c>
      <c r="D183" t="s">
        <v>2485</v>
      </c>
      <c r="E183" t="str">
        <f>"972"</f>
        <v>972</v>
      </c>
      <c r="G183" t="s">
        <v>347</v>
      </c>
      <c r="H183" t="s">
        <v>2486</v>
      </c>
      <c r="I183" t="s">
        <v>57</v>
      </c>
      <c r="J183" s="2" t="s">
        <v>2487</v>
      </c>
      <c r="K183" t="s">
        <v>2488</v>
      </c>
      <c r="L183" t="s">
        <v>60</v>
      </c>
      <c r="M183" t="s">
        <v>2272</v>
      </c>
      <c r="N183" t="s">
        <v>62</v>
      </c>
      <c r="O183" t="str">
        <f>"08103"</f>
        <v>08103</v>
      </c>
      <c r="P183" t="s">
        <v>2488</v>
      </c>
      <c r="S183" t="s">
        <v>2272</v>
      </c>
      <c r="T183" t="s">
        <v>62</v>
      </c>
      <c r="U183" t="str">
        <f>"08103"</f>
        <v>08103</v>
      </c>
      <c r="W183" t="s">
        <v>2489</v>
      </c>
      <c r="Y183" t="s">
        <v>233</v>
      </c>
      <c r="Z183" t="s">
        <v>2490</v>
      </c>
      <c r="AA183" t="s">
        <v>112</v>
      </c>
      <c r="AC183" t="s">
        <v>2491</v>
      </c>
      <c r="AD183" t="s">
        <v>510</v>
      </c>
      <c r="AE183" t="s">
        <v>433</v>
      </c>
      <c r="AG183" t="s">
        <v>347</v>
      </c>
      <c r="AH183" t="s">
        <v>2486</v>
      </c>
      <c r="AI183" t="s">
        <v>73</v>
      </c>
      <c r="AK183" t="s">
        <v>404</v>
      </c>
      <c r="AL183" t="s">
        <v>2492</v>
      </c>
      <c r="AM183" t="s">
        <v>76</v>
      </c>
      <c r="AO183" t="s">
        <v>347</v>
      </c>
      <c r="AP183" t="s">
        <v>2486</v>
      </c>
      <c r="AQ183" t="s">
        <v>80</v>
      </c>
      <c r="AS183" t="s">
        <v>404</v>
      </c>
      <c r="AT183" t="s">
        <v>2492</v>
      </c>
      <c r="AU183" t="s">
        <v>83</v>
      </c>
      <c r="AV183" t="s">
        <v>2493</v>
      </c>
      <c r="AW183" t="str">
        <f>"3400763"</f>
        <v>3400763</v>
      </c>
    </row>
    <row r="184" spans="1:49">
      <c r="A184" t="str">
        <f>"07"</f>
        <v>07</v>
      </c>
      <c r="B184" t="s">
        <v>2188</v>
      </c>
      <c r="C184" t="str">
        <f>"1799"</f>
        <v>1799</v>
      </c>
      <c r="D184" t="s">
        <v>2494</v>
      </c>
      <c r="F184" t="s">
        <v>77</v>
      </c>
      <c r="G184" t="s">
        <v>357</v>
      </c>
      <c r="H184" t="s">
        <v>2376</v>
      </c>
      <c r="I184" t="s">
        <v>128</v>
      </c>
      <c r="J184" s="2" t="s">
        <v>2495</v>
      </c>
      <c r="K184" t="s">
        <v>2496</v>
      </c>
      <c r="L184" t="s">
        <v>60</v>
      </c>
      <c r="M184" t="s">
        <v>2272</v>
      </c>
      <c r="N184" t="s">
        <v>62</v>
      </c>
      <c r="O184" t="str">
        <f>"08103"</f>
        <v>08103</v>
      </c>
      <c r="P184" t="s">
        <v>2497</v>
      </c>
      <c r="Q184" t="s">
        <v>2498</v>
      </c>
      <c r="S184" t="s">
        <v>2499</v>
      </c>
      <c r="T184" t="s">
        <v>62</v>
      </c>
      <c r="U184" t="str">
        <f>"07102"</f>
        <v>07102</v>
      </c>
      <c r="W184" t="s">
        <v>2500</v>
      </c>
      <c r="X184" t="s">
        <v>77</v>
      </c>
      <c r="Y184" t="s">
        <v>534</v>
      </c>
      <c r="Z184" t="s">
        <v>2501</v>
      </c>
      <c r="AA184" t="s">
        <v>135</v>
      </c>
      <c r="AB184" t="s">
        <v>54</v>
      </c>
      <c r="AC184" t="s">
        <v>2336</v>
      </c>
      <c r="AD184" t="s">
        <v>2502</v>
      </c>
      <c r="AE184" t="s">
        <v>181</v>
      </c>
      <c r="AF184" t="s">
        <v>70</v>
      </c>
      <c r="AG184" t="s">
        <v>2503</v>
      </c>
      <c r="AH184" t="s">
        <v>2504</v>
      </c>
      <c r="AI184" t="s">
        <v>73</v>
      </c>
      <c r="AJ184" t="s">
        <v>54</v>
      </c>
      <c r="AK184" t="s">
        <v>2505</v>
      </c>
      <c r="AL184" t="s">
        <v>259</v>
      </c>
      <c r="AM184" t="s">
        <v>76</v>
      </c>
      <c r="AN184" t="s">
        <v>77</v>
      </c>
      <c r="AO184" t="s">
        <v>2506</v>
      </c>
      <c r="AP184" t="s">
        <v>2507</v>
      </c>
      <c r="AQ184" t="s">
        <v>80</v>
      </c>
      <c r="AR184" t="s">
        <v>54</v>
      </c>
      <c r="AS184" t="s">
        <v>289</v>
      </c>
      <c r="AT184" t="s">
        <v>2508</v>
      </c>
      <c r="AU184" t="s">
        <v>83</v>
      </c>
      <c r="AV184" t="s">
        <v>2509</v>
      </c>
      <c r="AW184" t="str">
        <f>"3400777"</f>
        <v>3400777</v>
      </c>
    </row>
    <row r="185" spans="1:49">
      <c r="A185" t="str">
        <f>"07"</f>
        <v>07</v>
      </c>
      <c r="B185" t="s">
        <v>2188</v>
      </c>
      <c r="C185" t="str">
        <f>"2540"</f>
        <v>2540</v>
      </c>
      <c r="D185" t="s">
        <v>2510</v>
      </c>
      <c r="F185" t="s">
        <v>77</v>
      </c>
      <c r="G185" t="s">
        <v>319</v>
      </c>
      <c r="H185" t="s">
        <v>2476</v>
      </c>
      <c r="I185" t="s">
        <v>89</v>
      </c>
      <c r="J185" s="2" t="s">
        <v>2477</v>
      </c>
      <c r="K185" t="s">
        <v>2511</v>
      </c>
      <c r="L185" t="s">
        <v>60</v>
      </c>
      <c r="M185" t="s">
        <v>2512</v>
      </c>
      <c r="N185" t="s">
        <v>62</v>
      </c>
      <c r="O185" t="str">
        <f>"08021"</f>
        <v>08021</v>
      </c>
      <c r="P185" t="s">
        <v>2511</v>
      </c>
      <c r="S185" t="s">
        <v>2512</v>
      </c>
      <c r="T185" t="s">
        <v>62</v>
      </c>
      <c r="U185" t="str">
        <f>"08021"</f>
        <v>08021</v>
      </c>
      <c r="W185" t="s">
        <v>2513</v>
      </c>
      <c r="X185" t="s">
        <v>70</v>
      </c>
      <c r="Y185" t="s">
        <v>164</v>
      </c>
      <c r="Z185" t="s">
        <v>2514</v>
      </c>
      <c r="AA185" t="s">
        <v>135</v>
      </c>
      <c r="AB185" t="s">
        <v>54</v>
      </c>
      <c r="AC185" t="s">
        <v>1209</v>
      </c>
      <c r="AD185" t="s">
        <v>2515</v>
      </c>
      <c r="AE185" t="s">
        <v>415</v>
      </c>
      <c r="AF185" t="s">
        <v>77</v>
      </c>
      <c r="AG185" t="s">
        <v>357</v>
      </c>
      <c r="AH185" t="s">
        <v>2516</v>
      </c>
      <c r="AI185" t="s">
        <v>73</v>
      </c>
      <c r="AJ185" t="s">
        <v>70</v>
      </c>
      <c r="AK185" t="s">
        <v>651</v>
      </c>
      <c r="AL185" t="s">
        <v>2517</v>
      </c>
      <c r="AM185" t="s">
        <v>76</v>
      </c>
      <c r="AN185" t="s">
        <v>77</v>
      </c>
      <c r="AO185" t="s">
        <v>2518</v>
      </c>
      <c r="AP185" t="s">
        <v>2519</v>
      </c>
      <c r="AQ185" t="s">
        <v>80</v>
      </c>
      <c r="AR185" t="s">
        <v>77</v>
      </c>
      <c r="AS185" t="s">
        <v>357</v>
      </c>
      <c r="AT185" t="s">
        <v>2516</v>
      </c>
      <c r="AU185" t="s">
        <v>83</v>
      </c>
      <c r="AV185" t="s">
        <v>2520</v>
      </c>
      <c r="AW185" t="str">
        <f>"3408280"</f>
        <v>3408280</v>
      </c>
    </row>
    <row r="186" spans="1:49">
      <c r="A186" t="str">
        <f>"07"</f>
        <v>07</v>
      </c>
      <c r="B186" t="s">
        <v>2188</v>
      </c>
      <c r="C186" t="str">
        <f>"2560"</f>
        <v>2560</v>
      </c>
      <c r="D186" t="s">
        <v>2521</v>
      </c>
      <c r="G186" t="s">
        <v>2522</v>
      </c>
      <c r="H186" t="s">
        <v>2523</v>
      </c>
      <c r="I186" t="s">
        <v>89</v>
      </c>
      <c r="J186" s="2" t="s">
        <v>2524</v>
      </c>
      <c r="K186" t="s">
        <v>2525</v>
      </c>
      <c r="L186" t="s">
        <v>60</v>
      </c>
      <c r="M186" t="s">
        <v>2526</v>
      </c>
      <c r="N186" t="s">
        <v>62</v>
      </c>
      <c r="O186" t="s">
        <v>2527</v>
      </c>
      <c r="P186" t="s">
        <v>2525</v>
      </c>
      <c r="S186" t="s">
        <v>2526</v>
      </c>
      <c r="T186" t="s">
        <v>62</v>
      </c>
      <c r="U186" t="str">
        <f>"08045"</f>
        <v>08045</v>
      </c>
      <c r="V186" t="str">
        <f>"1404"</f>
        <v>1404</v>
      </c>
      <c r="W186" t="s">
        <v>2528</v>
      </c>
      <c r="Y186" t="s">
        <v>711</v>
      </c>
      <c r="Z186" t="s">
        <v>2529</v>
      </c>
      <c r="AA186" t="s">
        <v>135</v>
      </c>
      <c r="AC186" t="s">
        <v>245</v>
      </c>
      <c r="AD186" t="s">
        <v>2530</v>
      </c>
      <c r="AE186" t="s">
        <v>69</v>
      </c>
      <c r="AG186" t="s">
        <v>2531</v>
      </c>
      <c r="AH186" t="s">
        <v>2532</v>
      </c>
      <c r="AI186" t="s">
        <v>73</v>
      </c>
      <c r="AK186" t="s">
        <v>2533</v>
      </c>
      <c r="AL186" t="s">
        <v>1622</v>
      </c>
      <c r="AM186" t="s">
        <v>76</v>
      </c>
      <c r="AO186" t="s">
        <v>404</v>
      </c>
      <c r="AP186" t="s">
        <v>2534</v>
      </c>
      <c r="AQ186" t="s">
        <v>80</v>
      </c>
      <c r="AR186" t="s">
        <v>65</v>
      </c>
      <c r="AS186" t="s">
        <v>2522</v>
      </c>
      <c r="AT186" t="s">
        <v>2523</v>
      </c>
      <c r="AU186" t="s">
        <v>83</v>
      </c>
      <c r="AV186" t="s">
        <v>2535</v>
      </c>
      <c r="AW186" t="str">
        <f>"3408340"</f>
        <v>3408340</v>
      </c>
    </row>
    <row r="187" spans="1:49">
      <c r="A187" t="str">
        <f>"80"</f>
        <v>80</v>
      </c>
      <c r="B187" t="s">
        <v>2188</v>
      </c>
      <c r="C187" t="str">
        <f>"7109"</f>
        <v>7109</v>
      </c>
      <c r="D187" t="s">
        <v>2536</v>
      </c>
      <c r="E187" t="str">
        <f>"931"</f>
        <v>931</v>
      </c>
      <c r="F187" t="s">
        <v>70</v>
      </c>
      <c r="G187" t="s">
        <v>1164</v>
      </c>
      <c r="H187" t="s">
        <v>2537</v>
      </c>
      <c r="I187" t="s">
        <v>128</v>
      </c>
      <c r="J187" s="2" t="s">
        <v>2538</v>
      </c>
      <c r="K187" t="s">
        <v>2539</v>
      </c>
      <c r="L187" t="s">
        <v>60</v>
      </c>
      <c r="M187" t="s">
        <v>2272</v>
      </c>
      <c r="N187" t="s">
        <v>62</v>
      </c>
      <c r="O187" t="str">
        <f>"08102"</f>
        <v>08102</v>
      </c>
      <c r="P187" t="s">
        <v>2539</v>
      </c>
      <c r="S187" t="s">
        <v>2272</v>
      </c>
      <c r="T187" t="s">
        <v>62</v>
      </c>
      <c r="U187" t="str">
        <f>"08102"</f>
        <v>08102</v>
      </c>
      <c r="W187" t="s">
        <v>2540</v>
      </c>
      <c r="X187" t="s">
        <v>77</v>
      </c>
      <c r="Y187" t="s">
        <v>2541</v>
      </c>
      <c r="Z187" t="s">
        <v>2542</v>
      </c>
      <c r="AA187" t="s">
        <v>112</v>
      </c>
      <c r="AB187" t="s">
        <v>70</v>
      </c>
      <c r="AC187" t="s">
        <v>2543</v>
      </c>
      <c r="AD187" t="s">
        <v>2544</v>
      </c>
      <c r="AE187" t="s">
        <v>98</v>
      </c>
      <c r="AF187" t="s">
        <v>54</v>
      </c>
      <c r="AG187" t="s">
        <v>2545</v>
      </c>
      <c r="AH187" t="s">
        <v>2546</v>
      </c>
      <c r="AI187" t="s">
        <v>73</v>
      </c>
      <c r="AJ187" t="s">
        <v>77</v>
      </c>
      <c r="AK187" t="s">
        <v>1012</v>
      </c>
      <c r="AL187" t="s">
        <v>2547</v>
      </c>
      <c r="AM187" t="s">
        <v>76</v>
      </c>
      <c r="AN187" t="s">
        <v>77</v>
      </c>
      <c r="AO187" t="s">
        <v>2548</v>
      </c>
      <c r="AP187" t="s">
        <v>2549</v>
      </c>
      <c r="AQ187" t="s">
        <v>80</v>
      </c>
      <c r="AR187" t="s">
        <v>77</v>
      </c>
      <c r="AS187" t="s">
        <v>1067</v>
      </c>
      <c r="AT187" t="s">
        <v>2550</v>
      </c>
      <c r="AU187" t="s">
        <v>83</v>
      </c>
      <c r="AV187" t="s">
        <v>2551</v>
      </c>
      <c r="AW187" t="str">
        <f>"3400078"</f>
        <v>3400078</v>
      </c>
    </row>
    <row r="188" spans="1:49">
      <c r="A188" t="str">
        <f t="shared" ref="A188:A204" si="9">"07"</f>
        <v>07</v>
      </c>
      <c r="B188" t="s">
        <v>2188</v>
      </c>
      <c r="C188" t="str">
        <f>"2670"</f>
        <v>2670</v>
      </c>
      <c r="D188" t="s">
        <v>2552</v>
      </c>
      <c r="F188" t="s">
        <v>65</v>
      </c>
      <c r="G188" t="s">
        <v>1246</v>
      </c>
      <c r="H188" t="s">
        <v>2553</v>
      </c>
      <c r="I188" t="s">
        <v>89</v>
      </c>
      <c r="J188" s="2" t="s">
        <v>2554</v>
      </c>
      <c r="K188" t="s">
        <v>2555</v>
      </c>
      <c r="L188" t="s">
        <v>2556</v>
      </c>
      <c r="M188" t="s">
        <v>2557</v>
      </c>
      <c r="N188" t="s">
        <v>62</v>
      </c>
      <c r="O188" t="str">
        <f>"08021"</f>
        <v>08021</v>
      </c>
      <c r="P188" t="s">
        <v>2555</v>
      </c>
      <c r="Q188" t="s">
        <v>2558</v>
      </c>
      <c r="S188" t="s">
        <v>2557</v>
      </c>
      <c r="T188" t="s">
        <v>62</v>
      </c>
      <c r="U188" t="str">
        <f>"08021"</f>
        <v>08021</v>
      </c>
      <c r="W188" t="s">
        <v>2559</v>
      </c>
      <c r="X188" t="s">
        <v>54</v>
      </c>
      <c r="Y188" t="s">
        <v>771</v>
      </c>
      <c r="Z188" t="s">
        <v>2560</v>
      </c>
      <c r="AA188" t="s">
        <v>68</v>
      </c>
      <c r="AB188" t="s">
        <v>54</v>
      </c>
      <c r="AC188" t="s">
        <v>553</v>
      </c>
      <c r="AD188" t="s">
        <v>2561</v>
      </c>
      <c r="AE188" t="s">
        <v>98</v>
      </c>
      <c r="AF188" t="s">
        <v>70</v>
      </c>
      <c r="AG188" t="s">
        <v>2562</v>
      </c>
      <c r="AH188" t="s">
        <v>2563</v>
      </c>
      <c r="AI188" t="s">
        <v>73</v>
      </c>
      <c r="AJ188" t="s">
        <v>70</v>
      </c>
      <c r="AK188" t="s">
        <v>2562</v>
      </c>
      <c r="AL188" t="s">
        <v>2563</v>
      </c>
      <c r="AM188" t="s">
        <v>76</v>
      </c>
      <c r="AN188" t="s">
        <v>77</v>
      </c>
      <c r="AO188" t="s">
        <v>2564</v>
      </c>
      <c r="AP188" t="s">
        <v>2565</v>
      </c>
      <c r="AQ188" t="s">
        <v>80</v>
      </c>
      <c r="AR188" t="s">
        <v>77</v>
      </c>
      <c r="AS188" t="s">
        <v>994</v>
      </c>
      <c r="AT188" t="s">
        <v>2566</v>
      </c>
      <c r="AU188" t="s">
        <v>83</v>
      </c>
      <c r="AV188" t="s">
        <v>2567</v>
      </c>
      <c r="AW188" t="str">
        <f>"3408640"</f>
        <v>3408640</v>
      </c>
    </row>
    <row r="189" spans="1:49">
      <c r="A189" t="str">
        <f t="shared" si="9"/>
        <v>07</v>
      </c>
      <c r="B189" t="s">
        <v>2188</v>
      </c>
      <c r="C189" t="str">
        <f>"2890"</f>
        <v>2890</v>
      </c>
      <c r="D189" t="s">
        <v>2568</v>
      </c>
      <c r="F189" t="s">
        <v>54</v>
      </c>
      <c r="G189" t="s">
        <v>429</v>
      </c>
      <c r="H189" t="s">
        <v>2569</v>
      </c>
      <c r="I189" t="s">
        <v>89</v>
      </c>
      <c r="J189" s="2" t="s">
        <v>2570</v>
      </c>
      <c r="K189" t="s">
        <v>2571</v>
      </c>
      <c r="L189" t="s">
        <v>60</v>
      </c>
      <c r="M189" t="s">
        <v>2572</v>
      </c>
      <c r="N189" t="s">
        <v>62</v>
      </c>
      <c r="O189" t="s">
        <v>2573</v>
      </c>
      <c r="P189" t="s">
        <v>2571</v>
      </c>
      <c r="S189" t="s">
        <v>2572</v>
      </c>
      <c r="T189" t="s">
        <v>62</v>
      </c>
      <c r="U189" t="str">
        <f>"08049"</f>
        <v>08049</v>
      </c>
      <c r="V189" t="str">
        <f>"1399"</f>
        <v>1399</v>
      </c>
      <c r="W189" t="s">
        <v>2574</v>
      </c>
      <c r="X189" t="s">
        <v>77</v>
      </c>
      <c r="Y189" t="s">
        <v>2575</v>
      </c>
      <c r="Z189" t="s">
        <v>2576</v>
      </c>
      <c r="AA189" t="s">
        <v>112</v>
      </c>
      <c r="AB189" t="s">
        <v>54</v>
      </c>
      <c r="AC189" t="s">
        <v>429</v>
      </c>
      <c r="AD189" t="s">
        <v>2569</v>
      </c>
      <c r="AE189" t="s">
        <v>415</v>
      </c>
      <c r="AF189" t="s">
        <v>77</v>
      </c>
      <c r="AG189" t="s">
        <v>555</v>
      </c>
      <c r="AH189" t="s">
        <v>2577</v>
      </c>
      <c r="AI189" t="s">
        <v>73</v>
      </c>
      <c r="AJ189" t="s">
        <v>54</v>
      </c>
      <c r="AK189" t="s">
        <v>155</v>
      </c>
      <c r="AL189" t="s">
        <v>2578</v>
      </c>
      <c r="AM189" t="s">
        <v>76</v>
      </c>
      <c r="AR189" t="s">
        <v>77</v>
      </c>
      <c r="AS189" t="s">
        <v>555</v>
      </c>
      <c r="AT189" t="s">
        <v>2577</v>
      </c>
      <c r="AU189" t="s">
        <v>83</v>
      </c>
      <c r="AV189" t="s">
        <v>2579</v>
      </c>
      <c r="AW189" t="str">
        <f>"3409300"</f>
        <v>3409300</v>
      </c>
    </row>
    <row r="190" spans="1:49">
      <c r="A190" t="str">
        <f t="shared" si="9"/>
        <v>07</v>
      </c>
      <c r="B190" t="s">
        <v>2188</v>
      </c>
      <c r="C190" t="str">
        <f>"1802"</f>
        <v>1802</v>
      </c>
      <c r="D190" t="s">
        <v>2580</v>
      </c>
      <c r="G190" t="s">
        <v>436</v>
      </c>
      <c r="H190" t="s">
        <v>2534</v>
      </c>
      <c r="I190" t="s">
        <v>57</v>
      </c>
      <c r="J190" s="2" t="s">
        <v>2581</v>
      </c>
      <c r="K190" t="s">
        <v>2582</v>
      </c>
      <c r="L190" t="s">
        <v>60</v>
      </c>
      <c r="M190" t="s">
        <v>2272</v>
      </c>
      <c r="N190" t="s">
        <v>62</v>
      </c>
      <c r="O190" t="str">
        <f>"08105"</f>
        <v>08105</v>
      </c>
      <c r="P190" t="s">
        <v>2582</v>
      </c>
      <c r="S190" t="s">
        <v>2272</v>
      </c>
      <c r="T190" t="s">
        <v>62</v>
      </c>
      <c r="U190" t="str">
        <f>"08105"</f>
        <v>08105</v>
      </c>
      <c r="W190" t="s">
        <v>2583</v>
      </c>
      <c r="Y190" t="s">
        <v>287</v>
      </c>
      <c r="Z190" t="s">
        <v>2584</v>
      </c>
      <c r="AA190" t="s">
        <v>112</v>
      </c>
      <c r="AC190" t="s">
        <v>1684</v>
      </c>
      <c r="AD190" t="s">
        <v>2585</v>
      </c>
      <c r="AE190" t="s">
        <v>913</v>
      </c>
      <c r="AG190" t="s">
        <v>2586</v>
      </c>
      <c r="AH190" t="s">
        <v>2587</v>
      </c>
      <c r="AI190" t="s">
        <v>73</v>
      </c>
      <c r="AK190" t="s">
        <v>928</v>
      </c>
      <c r="AL190" t="s">
        <v>1040</v>
      </c>
      <c r="AM190" t="s">
        <v>76</v>
      </c>
      <c r="AO190" t="s">
        <v>243</v>
      </c>
      <c r="AP190" t="s">
        <v>2588</v>
      </c>
      <c r="AQ190" t="s">
        <v>80</v>
      </c>
      <c r="AS190" t="s">
        <v>120</v>
      </c>
      <c r="AT190" t="s">
        <v>2589</v>
      </c>
      <c r="AU190" t="s">
        <v>83</v>
      </c>
      <c r="AV190" t="s">
        <v>2590</v>
      </c>
      <c r="AW190" t="str">
        <f>"3400772"</f>
        <v>3400772</v>
      </c>
    </row>
    <row r="191" spans="1:49">
      <c r="A191" t="str">
        <f t="shared" si="9"/>
        <v>07</v>
      </c>
      <c r="B191" t="s">
        <v>2188</v>
      </c>
      <c r="C191" t="str">
        <f>"3110"</f>
        <v>3110</v>
      </c>
      <c r="D191" t="s">
        <v>2591</v>
      </c>
      <c r="F191" t="s">
        <v>77</v>
      </c>
      <c r="G191" t="s">
        <v>178</v>
      </c>
      <c r="H191" t="s">
        <v>2592</v>
      </c>
      <c r="I191" t="s">
        <v>57</v>
      </c>
      <c r="J191" s="2" t="s">
        <v>2593</v>
      </c>
      <c r="K191" t="s">
        <v>2594</v>
      </c>
      <c r="L191" t="s">
        <v>60</v>
      </c>
      <c r="M191" t="s">
        <v>2595</v>
      </c>
      <c r="N191" t="s">
        <v>62</v>
      </c>
      <c r="O191" t="str">
        <f>"08109"</f>
        <v>08109</v>
      </c>
      <c r="P191" t="s">
        <v>2594</v>
      </c>
      <c r="S191" t="s">
        <v>2595</v>
      </c>
      <c r="T191" t="s">
        <v>62</v>
      </c>
      <c r="U191" t="str">
        <f>"08109"</f>
        <v>08109</v>
      </c>
      <c r="W191" t="s">
        <v>2596</v>
      </c>
      <c r="X191" t="s">
        <v>77</v>
      </c>
      <c r="Y191" t="s">
        <v>2575</v>
      </c>
      <c r="Z191" t="s">
        <v>2576</v>
      </c>
      <c r="AA191" t="s">
        <v>112</v>
      </c>
      <c r="AB191" t="s">
        <v>77</v>
      </c>
      <c r="AC191" t="s">
        <v>178</v>
      </c>
      <c r="AD191" t="s">
        <v>2592</v>
      </c>
      <c r="AE191" t="s">
        <v>98</v>
      </c>
      <c r="AF191" t="s">
        <v>54</v>
      </c>
      <c r="AG191" t="s">
        <v>251</v>
      </c>
      <c r="AH191" t="s">
        <v>2465</v>
      </c>
      <c r="AI191" t="s">
        <v>73</v>
      </c>
      <c r="AJ191" t="s">
        <v>54</v>
      </c>
      <c r="AK191" t="s">
        <v>74</v>
      </c>
      <c r="AL191" t="s">
        <v>2597</v>
      </c>
      <c r="AM191" t="s">
        <v>76</v>
      </c>
      <c r="AN191" t="s">
        <v>77</v>
      </c>
      <c r="AO191" t="s">
        <v>1906</v>
      </c>
      <c r="AP191" t="s">
        <v>2598</v>
      </c>
      <c r="AQ191" t="s">
        <v>80</v>
      </c>
      <c r="AR191" t="s">
        <v>77</v>
      </c>
      <c r="AS191" t="s">
        <v>178</v>
      </c>
      <c r="AT191" t="s">
        <v>2592</v>
      </c>
      <c r="AU191" t="s">
        <v>83</v>
      </c>
      <c r="AV191" t="s">
        <v>2599</v>
      </c>
      <c r="AW191" t="str">
        <f>"3409960"</f>
        <v>3409960</v>
      </c>
    </row>
    <row r="192" spans="1:49">
      <c r="A192" t="str">
        <f t="shared" si="9"/>
        <v>07</v>
      </c>
      <c r="B192" t="s">
        <v>2188</v>
      </c>
      <c r="C192" t="str">
        <f>"3420"</f>
        <v>3420</v>
      </c>
      <c r="D192" t="s">
        <v>2600</v>
      </c>
      <c r="F192" t="s">
        <v>77</v>
      </c>
      <c r="G192" t="s">
        <v>120</v>
      </c>
      <c r="H192" t="s">
        <v>2601</v>
      </c>
      <c r="I192" t="s">
        <v>89</v>
      </c>
      <c r="J192" s="2" t="s">
        <v>2602</v>
      </c>
      <c r="K192" t="s">
        <v>2603</v>
      </c>
      <c r="L192" t="s">
        <v>60</v>
      </c>
      <c r="M192" t="s">
        <v>2604</v>
      </c>
      <c r="N192" t="s">
        <v>62</v>
      </c>
      <c r="O192" t="str">
        <f>"08059"</f>
        <v>08059</v>
      </c>
      <c r="P192" t="s">
        <v>2603</v>
      </c>
      <c r="S192" t="s">
        <v>2604</v>
      </c>
      <c r="T192" t="s">
        <v>62</v>
      </c>
      <c r="U192" t="str">
        <f>"08059"</f>
        <v>08059</v>
      </c>
      <c r="W192" t="s">
        <v>2605</v>
      </c>
      <c r="X192" t="s">
        <v>77</v>
      </c>
      <c r="Y192" t="s">
        <v>287</v>
      </c>
      <c r="Z192" t="s">
        <v>2606</v>
      </c>
      <c r="AA192" t="s">
        <v>112</v>
      </c>
      <c r="AB192" t="s">
        <v>65</v>
      </c>
      <c r="AC192" t="s">
        <v>932</v>
      </c>
      <c r="AD192" t="s">
        <v>2607</v>
      </c>
      <c r="AE192" t="s">
        <v>415</v>
      </c>
      <c r="AF192" t="s">
        <v>70</v>
      </c>
      <c r="AG192" t="s">
        <v>155</v>
      </c>
      <c r="AH192" t="s">
        <v>2608</v>
      </c>
      <c r="AI192" t="s">
        <v>73</v>
      </c>
      <c r="AJ192" t="s">
        <v>70</v>
      </c>
      <c r="AK192" t="s">
        <v>155</v>
      </c>
      <c r="AL192" t="s">
        <v>2608</v>
      </c>
      <c r="AM192" t="s">
        <v>76</v>
      </c>
      <c r="AN192" t="s">
        <v>77</v>
      </c>
      <c r="AO192" t="s">
        <v>555</v>
      </c>
      <c r="AP192" t="s">
        <v>2609</v>
      </c>
      <c r="AQ192" t="s">
        <v>80</v>
      </c>
      <c r="AR192" t="s">
        <v>77</v>
      </c>
      <c r="AS192" t="s">
        <v>120</v>
      </c>
      <c r="AT192" t="s">
        <v>2601</v>
      </c>
      <c r="AU192" t="s">
        <v>83</v>
      </c>
      <c r="AV192" t="s">
        <v>2610</v>
      </c>
      <c r="AW192" t="str">
        <f>"3410890"</f>
        <v>3410890</v>
      </c>
    </row>
    <row r="193" spans="1:49">
      <c r="A193" t="str">
        <f t="shared" si="9"/>
        <v>07</v>
      </c>
      <c r="B193" t="s">
        <v>2188</v>
      </c>
      <c r="C193" t="str">
        <f>"3770"</f>
        <v>3770</v>
      </c>
      <c r="D193" t="s">
        <v>2611</v>
      </c>
      <c r="F193" t="s">
        <v>65</v>
      </c>
      <c r="G193" t="s">
        <v>4960</v>
      </c>
      <c r="H193" t="s">
        <v>8179</v>
      </c>
      <c r="I193" t="s">
        <v>89</v>
      </c>
      <c r="J193" s="3" t="s">
        <v>8180</v>
      </c>
      <c r="K193" t="s">
        <v>2612</v>
      </c>
      <c r="L193" t="s">
        <v>60</v>
      </c>
      <c r="M193" t="s">
        <v>2613</v>
      </c>
      <c r="N193" t="s">
        <v>62</v>
      </c>
      <c r="O193" t="str">
        <f>"08107"</f>
        <v>08107</v>
      </c>
      <c r="P193" t="s">
        <v>2612</v>
      </c>
      <c r="S193" t="s">
        <v>2613</v>
      </c>
      <c r="T193" t="s">
        <v>62</v>
      </c>
      <c r="U193" t="str">
        <f>"08107"</f>
        <v>08107</v>
      </c>
      <c r="W193" t="s">
        <v>2358</v>
      </c>
      <c r="X193" t="s">
        <v>54</v>
      </c>
      <c r="Y193" t="s">
        <v>2359</v>
      </c>
      <c r="Z193" t="s">
        <v>958</v>
      </c>
      <c r="AA193" t="s">
        <v>135</v>
      </c>
      <c r="AB193" t="s">
        <v>54</v>
      </c>
      <c r="AC193" t="s">
        <v>1684</v>
      </c>
      <c r="AD193" t="s">
        <v>2360</v>
      </c>
      <c r="AE193" t="s">
        <v>913</v>
      </c>
      <c r="AF193" t="s">
        <v>70</v>
      </c>
      <c r="AG193" t="s">
        <v>155</v>
      </c>
      <c r="AH193" t="s">
        <v>2614</v>
      </c>
      <c r="AI193" t="s">
        <v>73</v>
      </c>
      <c r="AJ193" t="s">
        <v>77</v>
      </c>
      <c r="AK193" t="s">
        <v>2361</v>
      </c>
      <c r="AL193" t="s">
        <v>2362</v>
      </c>
      <c r="AM193" t="s">
        <v>76</v>
      </c>
      <c r="AN193" t="s">
        <v>77</v>
      </c>
      <c r="AO193" t="s">
        <v>120</v>
      </c>
      <c r="AP193" t="s">
        <v>2363</v>
      </c>
      <c r="AQ193" t="s">
        <v>80</v>
      </c>
      <c r="AR193" t="s">
        <v>70</v>
      </c>
      <c r="AS193" t="s">
        <v>155</v>
      </c>
      <c r="AT193" t="s">
        <v>2614</v>
      </c>
      <c r="AU193" t="s">
        <v>83</v>
      </c>
      <c r="AV193" t="s">
        <v>2615</v>
      </c>
      <c r="AW193" t="str">
        <f>"3411940"</f>
        <v>3411940</v>
      </c>
    </row>
    <row r="194" spans="1:49">
      <c r="A194" t="str">
        <f t="shared" si="9"/>
        <v>07</v>
      </c>
      <c r="B194" t="s">
        <v>2188</v>
      </c>
      <c r="C194" t="str">
        <f>"4060"</f>
        <v>4060</v>
      </c>
      <c r="D194" t="s">
        <v>2616</v>
      </c>
      <c r="F194" t="s">
        <v>65</v>
      </c>
      <c r="G194" t="s">
        <v>2617</v>
      </c>
      <c r="H194" t="s">
        <v>2618</v>
      </c>
      <c r="I194" t="s">
        <v>89</v>
      </c>
      <c r="J194" s="2" t="s">
        <v>2619</v>
      </c>
      <c r="K194" t="s">
        <v>2620</v>
      </c>
      <c r="L194" t="s">
        <v>60</v>
      </c>
      <c r="M194" t="s">
        <v>2621</v>
      </c>
      <c r="N194" t="s">
        <v>62</v>
      </c>
      <c r="O194" t="str">
        <f>"08110"</f>
        <v>08110</v>
      </c>
      <c r="P194" t="s">
        <v>2620</v>
      </c>
      <c r="S194" t="s">
        <v>2621</v>
      </c>
      <c r="T194" t="s">
        <v>62</v>
      </c>
      <c r="U194" t="str">
        <f>"08110"</f>
        <v>08110</v>
      </c>
      <c r="W194" t="s">
        <v>2622</v>
      </c>
      <c r="X194" t="s">
        <v>77</v>
      </c>
      <c r="Y194" t="s">
        <v>328</v>
      </c>
      <c r="Z194" t="s">
        <v>2623</v>
      </c>
      <c r="AA194" t="s">
        <v>135</v>
      </c>
      <c r="AB194" t="s">
        <v>77</v>
      </c>
      <c r="AC194" t="s">
        <v>120</v>
      </c>
      <c r="AD194" t="s">
        <v>2624</v>
      </c>
      <c r="AE194" t="s">
        <v>98</v>
      </c>
      <c r="AF194" t="s">
        <v>77</v>
      </c>
      <c r="AG194" t="s">
        <v>120</v>
      </c>
      <c r="AH194" t="s">
        <v>2624</v>
      </c>
      <c r="AI194" t="s">
        <v>73</v>
      </c>
      <c r="AJ194" t="s">
        <v>77</v>
      </c>
      <c r="AK194" t="s">
        <v>328</v>
      </c>
      <c r="AL194" t="s">
        <v>2625</v>
      </c>
      <c r="AM194" t="s">
        <v>76</v>
      </c>
      <c r="AN194" t="s">
        <v>77</v>
      </c>
      <c r="AO194" t="s">
        <v>1418</v>
      </c>
      <c r="AP194" t="s">
        <v>2626</v>
      </c>
      <c r="AQ194" t="s">
        <v>80</v>
      </c>
      <c r="AR194" t="s">
        <v>65</v>
      </c>
      <c r="AS194" t="s">
        <v>2617</v>
      </c>
      <c r="AT194" t="s">
        <v>2618</v>
      </c>
      <c r="AU194" t="s">
        <v>83</v>
      </c>
      <c r="AV194" t="s">
        <v>2627</v>
      </c>
      <c r="AW194" t="str">
        <f>"3412870"</f>
        <v>3412870</v>
      </c>
    </row>
    <row r="195" spans="1:49">
      <c r="A195" t="str">
        <f t="shared" si="9"/>
        <v>07</v>
      </c>
      <c r="B195" t="s">
        <v>2188</v>
      </c>
      <c r="C195" t="str">
        <f>"4110"</f>
        <v>4110</v>
      </c>
      <c r="D195" t="s">
        <v>2628</v>
      </c>
      <c r="F195" t="s">
        <v>65</v>
      </c>
      <c r="G195" t="s">
        <v>892</v>
      </c>
      <c r="H195" t="s">
        <v>2629</v>
      </c>
      <c r="I195" t="s">
        <v>89</v>
      </c>
      <c r="J195" s="2" t="s">
        <v>2630</v>
      </c>
      <c r="K195" t="s">
        <v>2631</v>
      </c>
      <c r="L195" t="s">
        <v>60</v>
      </c>
      <c r="M195" t="s">
        <v>2632</v>
      </c>
      <c r="N195" t="s">
        <v>62</v>
      </c>
      <c r="O195" t="str">
        <f>"08021"</f>
        <v>08021</v>
      </c>
      <c r="P195" t="s">
        <v>2631</v>
      </c>
      <c r="S195" t="s">
        <v>2632</v>
      </c>
      <c r="T195" t="s">
        <v>62</v>
      </c>
      <c r="U195" t="str">
        <f>"08021"</f>
        <v>08021</v>
      </c>
      <c r="W195" t="s">
        <v>2633</v>
      </c>
      <c r="X195" t="s">
        <v>54</v>
      </c>
      <c r="Y195" t="s">
        <v>1209</v>
      </c>
      <c r="Z195" t="s">
        <v>2634</v>
      </c>
      <c r="AA195" t="s">
        <v>68</v>
      </c>
      <c r="AB195" t="s">
        <v>65</v>
      </c>
      <c r="AC195" t="s">
        <v>2012</v>
      </c>
      <c r="AD195" t="s">
        <v>2635</v>
      </c>
      <c r="AE195" t="s">
        <v>415</v>
      </c>
      <c r="AF195" t="s">
        <v>77</v>
      </c>
      <c r="AG195" t="s">
        <v>1906</v>
      </c>
      <c r="AH195" t="s">
        <v>1156</v>
      </c>
      <c r="AI195" t="s">
        <v>73</v>
      </c>
      <c r="AJ195" t="s">
        <v>54</v>
      </c>
      <c r="AK195" t="s">
        <v>2108</v>
      </c>
      <c r="AL195" t="s">
        <v>2636</v>
      </c>
      <c r="AM195" t="s">
        <v>76</v>
      </c>
      <c r="AN195" t="s">
        <v>77</v>
      </c>
      <c r="AO195" t="s">
        <v>2108</v>
      </c>
      <c r="AP195" t="s">
        <v>2636</v>
      </c>
      <c r="AQ195" t="s">
        <v>80</v>
      </c>
      <c r="AR195" t="s">
        <v>54</v>
      </c>
      <c r="AS195" t="s">
        <v>2108</v>
      </c>
      <c r="AT195" t="s">
        <v>2636</v>
      </c>
      <c r="AU195" t="s">
        <v>83</v>
      </c>
      <c r="AV195" t="s">
        <v>2637</v>
      </c>
      <c r="AW195" t="str">
        <f>"3412990"</f>
        <v>3412990</v>
      </c>
    </row>
    <row r="196" spans="1:49">
      <c r="A196" t="str">
        <f t="shared" si="9"/>
        <v>07</v>
      </c>
      <c r="B196" t="s">
        <v>2188</v>
      </c>
      <c r="C196" t="str">
        <f>"4120"</f>
        <v>4120</v>
      </c>
      <c r="D196" t="s">
        <v>2638</v>
      </c>
      <c r="K196" t="s">
        <v>2639</v>
      </c>
      <c r="L196" t="s">
        <v>2640</v>
      </c>
      <c r="M196" t="s">
        <v>2349</v>
      </c>
      <c r="N196" t="s">
        <v>62</v>
      </c>
      <c r="O196" t="str">
        <f>"08021"</f>
        <v>08021</v>
      </c>
      <c r="P196" t="s">
        <v>2639</v>
      </c>
      <c r="Q196" t="s">
        <v>2641</v>
      </c>
      <c r="S196" t="s">
        <v>2349</v>
      </c>
      <c r="T196" t="s">
        <v>62</v>
      </c>
      <c r="U196" t="str">
        <f>"08021"</f>
        <v>08021</v>
      </c>
      <c r="X196" t="s">
        <v>77</v>
      </c>
      <c r="Y196" t="s">
        <v>873</v>
      </c>
      <c r="Z196" t="s">
        <v>1193</v>
      </c>
      <c r="AA196" t="s">
        <v>135</v>
      </c>
    </row>
    <row r="197" spans="1:49">
      <c r="A197" t="str">
        <f t="shared" si="9"/>
        <v>07</v>
      </c>
      <c r="B197" t="s">
        <v>2188</v>
      </c>
      <c r="C197" t="str">
        <f>"4590"</f>
        <v>4590</v>
      </c>
      <c r="D197" t="s">
        <v>2642</v>
      </c>
      <c r="F197" t="s">
        <v>77</v>
      </c>
      <c r="G197" t="s">
        <v>404</v>
      </c>
      <c r="H197" t="s">
        <v>2643</v>
      </c>
      <c r="I197" t="s">
        <v>89</v>
      </c>
      <c r="J197" s="2" t="s">
        <v>2644</v>
      </c>
      <c r="K197" t="s">
        <v>2645</v>
      </c>
      <c r="L197" t="s">
        <v>60</v>
      </c>
      <c r="M197" t="s">
        <v>2646</v>
      </c>
      <c r="N197" t="s">
        <v>62</v>
      </c>
      <c r="O197" t="str">
        <f>"08078"</f>
        <v>08078</v>
      </c>
      <c r="P197" t="s">
        <v>2645</v>
      </c>
      <c r="S197" t="s">
        <v>2646</v>
      </c>
      <c r="T197" t="s">
        <v>62</v>
      </c>
      <c r="U197" t="str">
        <f>"08078"</f>
        <v>08078</v>
      </c>
      <c r="W197" t="s">
        <v>2647</v>
      </c>
      <c r="X197" t="s">
        <v>65</v>
      </c>
      <c r="Y197" t="s">
        <v>570</v>
      </c>
      <c r="Z197" t="s">
        <v>2210</v>
      </c>
      <c r="AA197" t="s">
        <v>135</v>
      </c>
      <c r="AB197" t="s">
        <v>70</v>
      </c>
      <c r="AC197" t="s">
        <v>2648</v>
      </c>
      <c r="AD197" t="s">
        <v>2649</v>
      </c>
      <c r="AE197" t="s">
        <v>69</v>
      </c>
      <c r="AF197" t="s">
        <v>77</v>
      </c>
      <c r="AG197" t="s">
        <v>136</v>
      </c>
      <c r="AH197" t="s">
        <v>2650</v>
      </c>
      <c r="AI197" t="s">
        <v>73</v>
      </c>
      <c r="AJ197" t="s">
        <v>65</v>
      </c>
      <c r="AK197" t="s">
        <v>570</v>
      </c>
      <c r="AL197" t="s">
        <v>2210</v>
      </c>
      <c r="AM197" t="s">
        <v>76</v>
      </c>
      <c r="AN197" t="s">
        <v>54</v>
      </c>
      <c r="AO197" t="s">
        <v>2651</v>
      </c>
      <c r="AP197" t="s">
        <v>2652</v>
      </c>
      <c r="AQ197" t="s">
        <v>80</v>
      </c>
      <c r="AR197" t="s">
        <v>77</v>
      </c>
      <c r="AS197" t="s">
        <v>404</v>
      </c>
      <c r="AT197" t="s">
        <v>2643</v>
      </c>
      <c r="AU197" t="s">
        <v>83</v>
      </c>
      <c r="AV197" t="s">
        <v>2653</v>
      </c>
      <c r="AW197" t="str">
        <f>"3414430"</f>
        <v>3414430</v>
      </c>
    </row>
    <row r="198" spans="1:49">
      <c r="A198" t="str">
        <f t="shared" si="9"/>
        <v>07</v>
      </c>
      <c r="B198" t="s">
        <v>2188</v>
      </c>
      <c r="C198" t="str">
        <f>"4790"</f>
        <v>4790</v>
      </c>
      <c r="D198" t="s">
        <v>2654</v>
      </c>
      <c r="F198" t="s">
        <v>77</v>
      </c>
      <c r="G198" t="s">
        <v>404</v>
      </c>
      <c r="H198" t="s">
        <v>1904</v>
      </c>
      <c r="I198" t="s">
        <v>89</v>
      </c>
      <c r="J198" s="2" t="s">
        <v>2655</v>
      </c>
      <c r="K198" t="s">
        <v>2656</v>
      </c>
      <c r="L198" t="s">
        <v>60</v>
      </c>
      <c r="M198" t="s">
        <v>2657</v>
      </c>
      <c r="N198" t="s">
        <v>62</v>
      </c>
      <c r="O198" t="str">
        <f>"08083"</f>
        <v>08083</v>
      </c>
      <c r="P198" t="s">
        <v>2656</v>
      </c>
      <c r="S198" t="s">
        <v>2657</v>
      </c>
      <c r="T198" t="s">
        <v>62</v>
      </c>
      <c r="U198" t="str">
        <f>"08083"</f>
        <v>08083</v>
      </c>
      <c r="W198" t="s">
        <v>2658</v>
      </c>
      <c r="X198" t="s">
        <v>77</v>
      </c>
      <c r="Y198" t="s">
        <v>190</v>
      </c>
      <c r="Z198" t="s">
        <v>2659</v>
      </c>
      <c r="AA198" t="s">
        <v>135</v>
      </c>
      <c r="AB198" t="s">
        <v>77</v>
      </c>
      <c r="AC198" t="s">
        <v>2575</v>
      </c>
      <c r="AD198" t="s">
        <v>2660</v>
      </c>
      <c r="AE198" t="s">
        <v>98</v>
      </c>
      <c r="AF198" t="s">
        <v>77</v>
      </c>
      <c r="AG198" t="s">
        <v>873</v>
      </c>
      <c r="AH198" t="s">
        <v>2661</v>
      </c>
      <c r="AI198" t="s">
        <v>73</v>
      </c>
      <c r="AJ198" t="s">
        <v>70</v>
      </c>
      <c r="AK198" t="s">
        <v>289</v>
      </c>
      <c r="AL198" t="s">
        <v>2662</v>
      </c>
      <c r="AM198" t="s">
        <v>76</v>
      </c>
      <c r="AR198" t="s">
        <v>77</v>
      </c>
      <c r="AS198" t="s">
        <v>873</v>
      </c>
      <c r="AT198" t="s">
        <v>2661</v>
      </c>
      <c r="AU198" t="s">
        <v>83</v>
      </c>
      <c r="AV198" t="s">
        <v>2663</v>
      </c>
      <c r="AW198" t="str">
        <f>"3415000"</f>
        <v>3415000</v>
      </c>
    </row>
    <row r="199" spans="1:49">
      <c r="A199" t="str">
        <f t="shared" si="9"/>
        <v>07</v>
      </c>
      <c r="B199" t="s">
        <v>2188</v>
      </c>
      <c r="C199" t="str">
        <f>"5035"</f>
        <v>5035</v>
      </c>
      <c r="D199" t="s">
        <v>2664</v>
      </c>
      <c r="F199" t="s">
        <v>77</v>
      </c>
      <c r="G199" t="s">
        <v>281</v>
      </c>
      <c r="H199" t="s">
        <v>2665</v>
      </c>
      <c r="I199" t="s">
        <v>89</v>
      </c>
      <c r="J199" s="2" t="s">
        <v>2666</v>
      </c>
      <c r="K199" t="s">
        <v>2667</v>
      </c>
      <c r="L199" t="s">
        <v>60</v>
      </c>
      <c r="M199" t="s">
        <v>2657</v>
      </c>
      <c r="N199" t="s">
        <v>62</v>
      </c>
      <c r="O199" t="s">
        <v>2668</v>
      </c>
      <c r="P199" t="s">
        <v>2667</v>
      </c>
      <c r="Q199" t="s">
        <v>2669</v>
      </c>
      <c r="S199" t="s">
        <v>2657</v>
      </c>
      <c r="T199" t="s">
        <v>62</v>
      </c>
      <c r="U199" t="str">
        <f>"08083"</f>
        <v>08083</v>
      </c>
      <c r="V199" t="str">
        <f>"2175"</f>
        <v>2175</v>
      </c>
      <c r="W199" t="s">
        <v>2670</v>
      </c>
      <c r="X199" t="s">
        <v>77</v>
      </c>
      <c r="Y199" t="s">
        <v>404</v>
      </c>
      <c r="Z199" t="s">
        <v>2159</v>
      </c>
      <c r="AA199" t="s">
        <v>773</v>
      </c>
      <c r="AB199" t="s">
        <v>54</v>
      </c>
      <c r="AC199" t="s">
        <v>1653</v>
      </c>
      <c r="AD199" t="s">
        <v>2671</v>
      </c>
      <c r="AE199" t="s">
        <v>69</v>
      </c>
      <c r="AF199" t="s">
        <v>77</v>
      </c>
      <c r="AG199" t="s">
        <v>2672</v>
      </c>
      <c r="AH199" t="s">
        <v>2673</v>
      </c>
      <c r="AI199" t="s">
        <v>73</v>
      </c>
      <c r="AJ199" t="s">
        <v>70</v>
      </c>
      <c r="AK199" t="s">
        <v>2674</v>
      </c>
      <c r="AL199" t="s">
        <v>2675</v>
      </c>
      <c r="AM199" t="s">
        <v>76</v>
      </c>
      <c r="AN199" t="s">
        <v>77</v>
      </c>
      <c r="AO199" t="s">
        <v>555</v>
      </c>
      <c r="AP199" t="s">
        <v>2676</v>
      </c>
      <c r="AQ199" t="s">
        <v>80</v>
      </c>
      <c r="AR199" t="s">
        <v>77</v>
      </c>
      <c r="AS199" t="s">
        <v>570</v>
      </c>
      <c r="AT199" t="s">
        <v>2677</v>
      </c>
      <c r="AU199" t="s">
        <v>83</v>
      </c>
      <c r="AV199" t="s">
        <v>2678</v>
      </c>
      <c r="AW199" t="str">
        <f>"3402880"</f>
        <v>3402880</v>
      </c>
    </row>
    <row r="200" spans="1:49">
      <c r="A200" t="str">
        <f t="shared" si="9"/>
        <v>07</v>
      </c>
      <c r="B200" t="s">
        <v>2188</v>
      </c>
      <c r="C200" t="str">
        <f>"5080"</f>
        <v>5080</v>
      </c>
      <c r="D200" t="s">
        <v>2679</v>
      </c>
      <c r="F200" t="s">
        <v>77</v>
      </c>
      <c r="G200" t="s">
        <v>319</v>
      </c>
      <c r="H200" t="s">
        <v>2476</v>
      </c>
      <c r="I200" t="s">
        <v>89</v>
      </c>
      <c r="J200" s="2" t="s">
        <v>2477</v>
      </c>
      <c r="K200" t="s">
        <v>2478</v>
      </c>
      <c r="L200" t="s">
        <v>60</v>
      </c>
      <c r="M200" t="s">
        <v>2479</v>
      </c>
      <c r="N200" t="s">
        <v>62</v>
      </c>
      <c r="O200" t="str">
        <f>"08084"</f>
        <v>08084</v>
      </c>
      <c r="P200" t="s">
        <v>2478</v>
      </c>
      <c r="S200" t="s">
        <v>2479</v>
      </c>
      <c r="T200" t="s">
        <v>62</v>
      </c>
      <c r="U200" t="str">
        <f>"08084"</f>
        <v>08084</v>
      </c>
      <c r="W200" t="s">
        <v>2680</v>
      </c>
      <c r="X200" t="s">
        <v>54</v>
      </c>
      <c r="Y200" t="s">
        <v>1653</v>
      </c>
      <c r="Z200" t="s">
        <v>2681</v>
      </c>
      <c r="AA200" t="s">
        <v>135</v>
      </c>
      <c r="AB200" t="s">
        <v>54</v>
      </c>
      <c r="AC200" t="s">
        <v>2481</v>
      </c>
      <c r="AD200" t="s">
        <v>2482</v>
      </c>
      <c r="AE200" t="s">
        <v>181</v>
      </c>
      <c r="AF200" t="s">
        <v>77</v>
      </c>
      <c r="AG200" t="s">
        <v>663</v>
      </c>
      <c r="AH200" t="s">
        <v>2682</v>
      </c>
      <c r="AI200" t="s">
        <v>73</v>
      </c>
      <c r="AJ200" t="s">
        <v>54</v>
      </c>
      <c r="AK200" t="s">
        <v>2683</v>
      </c>
      <c r="AL200" t="s">
        <v>2684</v>
      </c>
      <c r="AM200" t="s">
        <v>76</v>
      </c>
      <c r="AN200" t="s">
        <v>77</v>
      </c>
      <c r="AO200" t="s">
        <v>182</v>
      </c>
      <c r="AP200" t="s">
        <v>2685</v>
      </c>
      <c r="AQ200" t="s">
        <v>80</v>
      </c>
      <c r="AR200" t="s">
        <v>77</v>
      </c>
      <c r="AS200" t="s">
        <v>663</v>
      </c>
      <c r="AT200" t="s">
        <v>2682</v>
      </c>
      <c r="AU200" t="s">
        <v>83</v>
      </c>
      <c r="AV200" t="s">
        <v>2686</v>
      </c>
      <c r="AW200" t="str">
        <f>"3415870"</f>
        <v>3415870</v>
      </c>
    </row>
    <row r="201" spans="1:49">
      <c r="A201" t="str">
        <f t="shared" si="9"/>
        <v>07</v>
      </c>
      <c r="B201" t="s">
        <v>2188</v>
      </c>
      <c r="C201" t="str">
        <f>"5400"</f>
        <v>5400</v>
      </c>
      <c r="D201" t="s">
        <v>2687</v>
      </c>
      <c r="F201" t="s">
        <v>77</v>
      </c>
      <c r="G201" t="s">
        <v>120</v>
      </c>
      <c r="H201" t="s">
        <v>8242</v>
      </c>
      <c r="I201" t="s">
        <v>1518</v>
      </c>
      <c r="J201" s="3" t="s">
        <v>8243</v>
      </c>
      <c r="K201" t="s">
        <v>2688</v>
      </c>
      <c r="L201" t="s">
        <v>8247</v>
      </c>
      <c r="M201" t="s">
        <v>2689</v>
      </c>
      <c r="N201" t="s">
        <v>62</v>
      </c>
      <c r="O201" t="str">
        <f>"08043"</f>
        <v>08043</v>
      </c>
      <c r="P201" t="s">
        <v>2688</v>
      </c>
      <c r="S201" t="s">
        <v>2689</v>
      </c>
      <c r="T201" t="s">
        <v>62</v>
      </c>
      <c r="U201" t="str">
        <f>"08043"</f>
        <v>08043</v>
      </c>
      <c r="W201" t="s">
        <v>2690</v>
      </c>
      <c r="X201" t="s">
        <v>54</v>
      </c>
      <c r="Y201" t="s">
        <v>1706</v>
      </c>
      <c r="Z201" t="s">
        <v>2691</v>
      </c>
      <c r="AA201" t="s">
        <v>135</v>
      </c>
      <c r="AB201" t="s">
        <v>65</v>
      </c>
      <c r="AC201" t="s">
        <v>1182</v>
      </c>
      <c r="AD201" t="s">
        <v>2376</v>
      </c>
      <c r="AE201" t="s">
        <v>69</v>
      </c>
      <c r="AF201" t="s">
        <v>54</v>
      </c>
      <c r="AG201" t="s">
        <v>541</v>
      </c>
      <c r="AH201" t="s">
        <v>2692</v>
      </c>
      <c r="AI201" t="s">
        <v>73</v>
      </c>
      <c r="AJ201" t="s">
        <v>65</v>
      </c>
      <c r="AK201" t="s">
        <v>1017</v>
      </c>
      <c r="AL201" t="s">
        <v>2693</v>
      </c>
      <c r="AM201" t="s">
        <v>76</v>
      </c>
      <c r="AN201" t="s">
        <v>77</v>
      </c>
      <c r="AO201" t="s">
        <v>2694</v>
      </c>
      <c r="AP201" t="s">
        <v>899</v>
      </c>
      <c r="AQ201" t="s">
        <v>80</v>
      </c>
      <c r="AR201" t="s">
        <v>54</v>
      </c>
      <c r="AS201" t="s">
        <v>541</v>
      </c>
      <c r="AT201" t="s">
        <v>2692</v>
      </c>
      <c r="AU201" t="s">
        <v>83</v>
      </c>
      <c r="AV201" t="s">
        <v>2695</v>
      </c>
      <c r="AW201" t="str">
        <f>"3416830"</f>
        <v>3416830</v>
      </c>
    </row>
    <row r="202" spans="1:49">
      <c r="A202" t="str">
        <f t="shared" si="9"/>
        <v>07</v>
      </c>
      <c r="B202" t="s">
        <v>2188</v>
      </c>
      <c r="C202" t="str">
        <f>"5560"</f>
        <v>5560</v>
      </c>
      <c r="D202" t="s">
        <v>2696</v>
      </c>
      <c r="F202" t="s">
        <v>65</v>
      </c>
      <c r="G202" t="s">
        <v>323</v>
      </c>
      <c r="H202" t="s">
        <v>2697</v>
      </c>
      <c r="I202" t="s">
        <v>89</v>
      </c>
      <c r="J202" s="2" t="s">
        <v>2698</v>
      </c>
      <c r="K202" t="s">
        <v>2699</v>
      </c>
      <c r="L202" t="s">
        <v>60</v>
      </c>
      <c r="M202" t="s">
        <v>2700</v>
      </c>
      <c r="N202" t="s">
        <v>62</v>
      </c>
      <c r="O202" t="str">
        <f>"08089"</f>
        <v>08089</v>
      </c>
      <c r="P202" t="s">
        <v>2699</v>
      </c>
      <c r="S202" t="s">
        <v>2700</v>
      </c>
      <c r="T202" t="s">
        <v>62</v>
      </c>
      <c r="U202" t="str">
        <f>"08089"</f>
        <v>08089</v>
      </c>
      <c r="W202" t="s">
        <v>2701</v>
      </c>
      <c r="X202" t="s">
        <v>77</v>
      </c>
      <c r="Y202" t="s">
        <v>87</v>
      </c>
      <c r="Z202" t="s">
        <v>187</v>
      </c>
      <c r="AA202" t="s">
        <v>68</v>
      </c>
      <c r="AB202" t="s">
        <v>70</v>
      </c>
      <c r="AC202" t="s">
        <v>1510</v>
      </c>
      <c r="AD202" t="s">
        <v>2702</v>
      </c>
      <c r="AE202" t="s">
        <v>181</v>
      </c>
      <c r="AF202" t="s">
        <v>70</v>
      </c>
      <c r="AG202" t="s">
        <v>957</v>
      </c>
      <c r="AH202" t="s">
        <v>2703</v>
      </c>
      <c r="AI202" t="s">
        <v>73</v>
      </c>
      <c r="AJ202" t="s">
        <v>70</v>
      </c>
      <c r="AK202" t="s">
        <v>1207</v>
      </c>
      <c r="AL202" t="s">
        <v>2704</v>
      </c>
      <c r="AM202" t="s">
        <v>76</v>
      </c>
      <c r="AR202" t="s">
        <v>77</v>
      </c>
      <c r="AS202" t="s">
        <v>293</v>
      </c>
      <c r="AT202" t="s">
        <v>2705</v>
      </c>
      <c r="AU202" t="s">
        <v>83</v>
      </c>
      <c r="AV202" t="s">
        <v>2706</v>
      </c>
      <c r="AW202" t="str">
        <f>"3417250"</f>
        <v>3417250</v>
      </c>
    </row>
    <row r="203" spans="1:49">
      <c r="A203" t="str">
        <f t="shared" si="9"/>
        <v>07</v>
      </c>
      <c r="B203" t="s">
        <v>2188</v>
      </c>
      <c r="C203" t="str">
        <f>"5820"</f>
        <v>5820</v>
      </c>
      <c r="D203" t="s">
        <v>2707</v>
      </c>
      <c r="F203" t="s">
        <v>65</v>
      </c>
      <c r="G203" t="s">
        <v>2708</v>
      </c>
      <c r="H203" t="s">
        <v>2709</v>
      </c>
      <c r="I203" t="s">
        <v>89</v>
      </c>
      <c r="J203" s="2" t="s">
        <v>2710</v>
      </c>
      <c r="K203" t="s">
        <v>2711</v>
      </c>
      <c r="L203" t="s">
        <v>60</v>
      </c>
      <c r="M203" t="s">
        <v>2712</v>
      </c>
      <c r="N203" t="s">
        <v>62</v>
      </c>
      <c r="O203" t="str">
        <f>"08004"</f>
        <v>08004</v>
      </c>
      <c r="P203" t="s">
        <v>2711</v>
      </c>
      <c r="S203" t="s">
        <v>2712</v>
      </c>
      <c r="T203" t="s">
        <v>62</v>
      </c>
      <c r="U203" t="str">
        <f>"08004"</f>
        <v>08004</v>
      </c>
      <c r="W203" t="s">
        <v>2713</v>
      </c>
      <c r="X203" t="s">
        <v>54</v>
      </c>
      <c r="Y203" t="s">
        <v>2714</v>
      </c>
      <c r="Z203" t="s">
        <v>2715</v>
      </c>
      <c r="AA203" t="s">
        <v>135</v>
      </c>
      <c r="AB203" t="s">
        <v>65</v>
      </c>
      <c r="AC203" t="s">
        <v>873</v>
      </c>
      <c r="AD203" t="s">
        <v>2716</v>
      </c>
      <c r="AE203" t="s">
        <v>587</v>
      </c>
      <c r="AF203" t="s">
        <v>77</v>
      </c>
      <c r="AG203" t="s">
        <v>2717</v>
      </c>
      <c r="AH203" t="s">
        <v>900</v>
      </c>
      <c r="AI203" t="s">
        <v>73</v>
      </c>
      <c r="AJ203" t="s">
        <v>70</v>
      </c>
      <c r="AK203" t="s">
        <v>429</v>
      </c>
      <c r="AL203" t="s">
        <v>2718</v>
      </c>
      <c r="AM203" t="s">
        <v>76</v>
      </c>
      <c r="AN203" t="s">
        <v>77</v>
      </c>
      <c r="AO203" t="s">
        <v>2719</v>
      </c>
      <c r="AP203" t="s">
        <v>436</v>
      </c>
      <c r="AQ203" t="s">
        <v>80</v>
      </c>
      <c r="AR203" t="s">
        <v>65</v>
      </c>
      <c r="AS203" t="s">
        <v>532</v>
      </c>
      <c r="AT203" t="s">
        <v>2720</v>
      </c>
      <c r="AU203" t="s">
        <v>83</v>
      </c>
      <c r="AV203" t="s">
        <v>2721</v>
      </c>
      <c r="AW203" t="str">
        <f>"3418060"</f>
        <v>3418060</v>
      </c>
    </row>
    <row r="204" spans="1:49">
      <c r="A204" t="str">
        <f t="shared" si="9"/>
        <v>07</v>
      </c>
      <c r="B204" t="s">
        <v>2188</v>
      </c>
      <c r="C204" t="str">
        <f>"5900"</f>
        <v>5900</v>
      </c>
      <c r="D204" t="s">
        <v>2722</v>
      </c>
      <c r="F204" t="s">
        <v>54</v>
      </c>
      <c r="G204" t="s">
        <v>619</v>
      </c>
      <c r="H204" t="s">
        <v>2723</v>
      </c>
      <c r="I204" t="s">
        <v>89</v>
      </c>
      <c r="J204" s="2" t="s">
        <v>2724</v>
      </c>
      <c r="K204" t="s">
        <v>2725</v>
      </c>
      <c r="L204" t="s">
        <v>60</v>
      </c>
      <c r="M204" t="s">
        <v>2726</v>
      </c>
      <c r="N204" t="s">
        <v>62</v>
      </c>
      <c r="O204" t="str">
        <f>"08107"</f>
        <v>08107</v>
      </c>
      <c r="P204" t="s">
        <v>2725</v>
      </c>
      <c r="S204" t="s">
        <v>2726</v>
      </c>
      <c r="T204" t="s">
        <v>62</v>
      </c>
      <c r="U204" t="str">
        <f>"08107"</f>
        <v>08107</v>
      </c>
      <c r="W204" t="s">
        <v>2727</v>
      </c>
      <c r="X204" t="s">
        <v>77</v>
      </c>
      <c r="Y204" t="s">
        <v>2575</v>
      </c>
      <c r="Z204" t="s">
        <v>2576</v>
      </c>
      <c r="AA204" t="s">
        <v>68</v>
      </c>
      <c r="AB204" t="s">
        <v>54</v>
      </c>
      <c r="AC204" t="s">
        <v>2012</v>
      </c>
      <c r="AD204" t="s">
        <v>1853</v>
      </c>
      <c r="AE204" t="s">
        <v>181</v>
      </c>
      <c r="AF204" t="s">
        <v>54</v>
      </c>
      <c r="AG204" t="s">
        <v>1510</v>
      </c>
      <c r="AH204" t="s">
        <v>2728</v>
      </c>
      <c r="AI204" t="s">
        <v>73</v>
      </c>
      <c r="AJ204" t="s">
        <v>54</v>
      </c>
      <c r="AK204" t="s">
        <v>2533</v>
      </c>
      <c r="AL204" t="s">
        <v>2433</v>
      </c>
      <c r="AM204" t="s">
        <v>76</v>
      </c>
      <c r="AN204" t="s">
        <v>77</v>
      </c>
      <c r="AO204" t="s">
        <v>273</v>
      </c>
      <c r="AP204" t="s">
        <v>373</v>
      </c>
      <c r="AQ204" t="s">
        <v>80</v>
      </c>
      <c r="AR204" t="s">
        <v>77</v>
      </c>
      <c r="AS204" t="s">
        <v>2729</v>
      </c>
      <c r="AT204" t="s">
        <v>2730</v>
      </c>
      <c r="AU204" t="s">
        <v>83</v>
      </c>
      <c r="AV204" t="s">
        <v>2731</v>
      </c>
      <c r="AW204" t="str">
        <f>"3418270"</f>
        <v>3418270</v>
      </c>
    </row>
    <row r="205" spans="1:49">
      <c r="A205" t="str">
        <f t="shared" ref="A205:A223" si="10">"09"</f>
        <v>09</v>
      </c>
      <c r="B205" t="s">
        <v>2732</v>
      </c>
      <c r="C205" t="str">
        <f>"0170"</f>
        <v>0170</v>
      </c>
      <c r="D205" t="s">
        <v>2733</v>
      </c>
      <c r="F205" t="s">
        <v>54</v>
      </c>
      <c r="G205" t="s">
        <v>1655</v>
      </c>
      <c r="H205" t="s">
        <v>2734</v>
      </c>
      <c r="I205" t="s">
        <v>89</v>
      </c>
      <c r="J205" s="2" t="s">
        <v>2735</v>
      </c>
      <c r="K205" t="s">
        <v>2736</v>
      </c>
      <c r="L205" t="s">
        <v>60</v>
      </c>
      <c r="M205" t="s">
        <v>2737</v>
      </c>
      <c r="N205" t="s">
        <v>62</v>
      </c>
      <c r="O205" t="s">
        <v>2738</v>
      </c>
      <c r="P205" t="s">
        <v>2736</v>
      </c>
      <c r="S205" t="s">
        <v>2737</v>
      </c>
      <c r="T205" t="s">
        <v>62</v>
      </c>
      <c r="U205" t="str">
        <f>"08202"</f>
        <v>08202</v>
      </c>
      <c r="V205" t="str">
        <f>"1776"</f>
        <v>1776</v>
      </c>
      <c r="W205" t="s">
        <v>2739</v>
      </c>
      <c r="X205" t="s">
        <v>70</v>
      </c>
      <c r="Y205" t="s">
        <v>447</v>
      </c>
      <c r="Z205" t="s">
        <v>2740</v>
      </c>
      <c r="AA205" t="s">
        <v>135</v>
      </c>
      <c r="AB205" t="s">
        <v>54</v>
      </c>
      <c r="AC205" t="s">
        <v>2741</v>
      </c>
      <c r="AD205" t="s">
        <v>2742</v>
      </c>
      <c r="AE205" t="s">
        <v>181</v>
      </c>
      <c r="AF205" t="s">
        <v>54</v>
      </c>
      <c r="AG205" t="s">
        <v>2743</v>
      </c>
      <c r="AH205" t="s">
        <v>2744</v>
      </c>
      <c r="AI205" t="s">
        <v>73</v>
      </c>
      <c r="AJ205" t="s">
        <v>77</v>
      </c>
      <c r="AK205" t="s">
        <v>2745</v>
      </c>
      <c r="AL205" t="s">
        <v>2746</v>
      </c>
      <c r="AM205" t="s">
        <v>76</v>
      </c>
      <c r="AN205" t="s">
        <v>77</v>
      </c>
      <c r="AO205" t="s">
        <v>2745</v>
      </c>
      <c r="AP205" t="s">
        <v>2746</v>
      </c>
      <c r="AQ205" t="s">
        <v>80</v>
      </c>
      <c r="AR205" t="s">
        <v>65</v>
      </c>
      <c r="AS205" t="s">
        <v>680</v>
      </c>
      <c r="AT205" t="s">
        <v>2747</v>
      </c>
      <c r="AU205" t="s">
        <v>83</v>
      </c>
      <c r="AV205" t="s">
        <v>2748</v>
      </c>
      <c r="AW205" t="str">
        <f>"3401110"</f>
        <v>3401110</v>
      </c>
    </row>
    <row r="206" spans="1:49">
      <c r="A206" t="str">
        <f t="shared" si="10"/>
        <v>09</v>
      </c>
      <c r="B206" t="s">
        <v>2732</v>
      </c>
      <c r="C206" t="str">
        <f>"0710"</f>
        <v>0710</v>
      </c>
      <c r="D206" t="s">
        <v>2749</v>
      </c>
      <c r="F206" t="s">
        <v>77</v>
      </c>
      <c r="G206" t="s">
        <v>873</v>
      </c>
      <c r="H206" t="s">
        <v>2750</v>
      </c>
      <c r="I206" t="s">
        <v>408</v>
      </c>
      <c r="J206" s="2" t="s">
        <v>2751</v>
      </c>
      <c r="K206" t="s">
        <v>2752</v>
      </c>
      <c r="L206" t="s">
        <v>60</v>
      </c>
      <c r="M206" t="s">
        <v>2753</v>
      </c>
      <c r="N206" t="s">
        <v>62</v>
      </c>
      <c r="O206" t="s">
        <v>2754</v>
      </c>
      <c r="P206" t="s">
        <v>2752</v>
      </c>
      <c r="S206" t="s">
        <v>2753</v>
      </c>
      <c r="T206" t="s">
        <v>62</v>
      </c>
      <c r="U206" t="str">
        <f>"08204"</f>
        <v>08204</v>
      </c>
      <c r="V206" t="str">
        <f>"1646"</f>
        <v>1646</v>
      </c>
      <c r="W206" t="s">
        <v>2755</v>
      </c>
      <c r="X206" t="s">
        <v>77</v>
      </c>
      <c r="Y206" t="s">
        <v>328</v>
      </c>
      <c r="Z206" t="s">
        <v>319</v>
      </c>
      <c r="AA206" t="s">
        <v>135</v>
      </c>
      <c r="AB206" t="s">
        <v>54</v>
      </c>
      <c r="AC206" t="s">
        <v>653</v>
      </c>
      <c r="AD206" t="s">
        <v>2756</v>
      </c>
      <c r="AE206" t="s">
        <v>181</v>
      </c>
      <c r="AF206" t="s">
        <v>77</v>
      </c>
      <c r="AG206" t="s">
        <v>2757</v>
      </c>
      <c r="AH206" t="s">
        <v>2758</v>
      </c>
      <c r="AI206" t="s">
        <v>73</v>
      </c>
      <c r="AJ206" t="s">
        <v>77</v>
      </c>
      <c r="AK206" t="s">
        <v>2757</v>
      </c>
      <c r="AL206" t="s">
        <v>2758</v>
      </c>
      <c r="AM206" t="s">
        <v>76</v>
      </c>
      <c r="AN206" t="s">
        <v>77</v>
      </c>
      <c r="AO206" t="s">
        <v>328</v>
      </c>
      <c r="AP206" t="s">
        <v>319</v>
      </c>
      <c r="AQ206" t="s">
        <v>80</v>
      </c>
      <c r="AR206" t="s">
        <v>77</v>
      </c>
      <c r="AS206" t="s">
        <v>328</v>
      </c>
      <c r="AT206" t="s">
        <v>319</v>
      </c>
      <c r="AU206" t="s">
        <v>83</v>
      </c>
      <c r="AV206" t="s">
        <v>2759</v>
      </c>
      <c r="AW206" t="str">
        <f>"3402700"</f>
        <v>3402700</v>
      </c>
    </row>
    <row r="207" spans="1:49">
      <c r="A207" t="str">
        <f t="shared" si="10"/>
        <v>09</v>
      </c>
      <c r="B207" t="s">
        <v>2732</v>
      </c>
      <c r="C207" t="str">
        <f>"0715"</f>
        <v>0715</v>
      </c>
      <c r="D207" t="s">
        <v>2760</v>
      </c>
      <c r="F207" t="s">
        <v>65</v>
      </c>
      <c r="G207" t="s">
        <v>1837</v>
      </c>
      <c r="H207" t="s">
        <v>2761</v>
      </c>
      <c r="I207" t="s">
        <v>57</v>
      </c>
      <c r="J207" s="2" t="s">
        <v>2762</v>
      </c>
      <c r="K207" t="s">
        <v>2763</v>
      </c>
      <c r="L207" t="s">
        <v>60</v>
      </c>
      <c r="M207" t="s">
        <v>2764</v>
      </c>
      <c r="N207" t="s">
        <v>62</v>
      </c>
      <c r="O207" t="str">
        <f>"08210"</f>
        <v>08210</v>
      </c>
      <c r="P207" t="s">
        <v>2765</v>
      </c>
      <c r="Q207" t="s">
        <v>2766</v>
      </c>
      <c r="S207" t="s">
        <v>2764</v>
      </c>
      <c r="T207" t="s">
        <v>62</v>
      </c>
      <c r="U207" t="str">
        <f>"08210"</f>
        <v>08210</v>
      </c>
      <c r="W207" t="s">
        <v>2767</v>
      </c>
      <c r="X207" t="s">
        <v>54</v>
      </c>
      <c r="Y207" t="s">
        <v>771</v>
      </c>
      <c r="Z207" t="s">
        <v>2277</v>
      </c>
      <c r="AA207" t="s">
        <v>135</v>
      </c>
      <c r="AB207" t="s">
        <v>70</v>
      </c>
      <c r="AC207" t="s">
        <v>1083</v>
      </c>
      <c r="AD207" t="s">
        <v>2768</v>
      </c>
      <c r="AE207" t="s">
        <v>868</v>
      </c>
      <c r="AF207" t="s">
        <v>77</v>
      </c>
      <c r="AG207" t="s">
        <v>178</v>
      </c>
      <c r="AH207" t="s">
        <v>2769</v>
      </c>
      <c r="AI207" t="s">
        <v>73</v>
      </c>
      <c r="AJ207" t="s">
        <v>77</v>
      </c>
      <c r="AK207" t="s">
        <v>178</v>
      </c>
      <c r="AL207" t="s">
        <v>2769</v>
      </c>
      <c r="AM207" t="s">
        <v>76</v>
      </c>
      <c r="AN207" t="s">
        <v>77</v>
      </c>
      <c r="AO207" t="s">
        <v>120</v>
      </c>
      <c r="AP207" t="s">
        <v>2770</v>
      </c>
      <c r="AQ207" t="s">
        <v>80</v>
      </c>
      <c r="AR207" t="s">
        <v>77</v>
      </c>
      <c r="AS207" t="s">
        <v>2771</v>
      </c>
      <c r="AT207" t="s">
        <v>2389</v>
      </c>
      <c r="AU207" t="s">
        <v>83</v>
      </c>
      <c r="AV207" t="s">
        <v>2772</v>
      </c>
      <c r="AW207" t="str">
        <f>"3402740"</f>
        <v>3402740</v>
      </c>
    </row>
    <row r="208" spans="1:49">
      <c r="A208" t="str">
        <f t="shared" si="10"/>
        <v>09</v>
      </c>
      <c r="B208" t="s">
        <v>2732</v>
      </c>
      <c r="C208" t="str">
        <f>"0720"</f>
        <v>0720</v>
      </c>
      <c r="D208" t="s">
        <v>2773</v>
      </c>
      <c r="F208" t="s">
        <v>65</v>
      </c>
      <c r="G208" t="s">
        <v>1837</v>
      </c>
      <c r="H208" t="s">
        <v>2761</v>
      </c>
      <c r="I208" t="s">
        <v>89</v>
      </c>
      <c r="J208" s="2" t="s">
        <v>2762</v>
      </c>
      <c r="K208" t="s">
        <v>2774</v>
      </c>
      <c r="L208" t="s">
        <v>60</v>
      </c>
      <c r="M208" t="s">
        <v>2764</v>
      </c>
      <c r="N208" t="s">
        <v>62</v>
      </c>
      <c r="O208" t="str">
        <f>"08210"</f>
        <v>08210</v>
      </c>
      <c r="P208" t="s">
        <v>2774</v>
      </c>
      <c r="S208" t="s">
        <v>2764</v>
      </c>
      <c r="T208" t="s">
        <v>62</v>
      </c>
      <c r="U208" t="str">
        <f>"08210"</f>
        <v>08210</v>
      </c>
      <c r="W208" t="s">
        <v>2767</v>
      </c>
      <c r="X208" t="s">
        <v>54</v>
      </c>
      <c r="Y208" t="s">
        <v>2775</v>
      </c>
      <c r="Z208" t="s">
        <v>824</v>
      </c>
      <c r="AA208" t="s">
        <v>112</v>
      </c>
      <c r="AB208" t="s">
        <v>70</v>
      </c>
      <c r="AC208" t="s">
        <v>809</v>
      </c>
      <c r="AD208" t="s">
        <v>2053</v>
      </c>
      <c r="AE208" t="s">
        <v>181</v>
      </c>
      <c r="AF208" t="s">
        <v>54</v>
      </c>
      <c r="AG208" t="s">
        <v>2776</v>
      </c>
      <c r="AH208" t="s">
        <v>2777</v>
      </c>
      <c r="AI208" t="s">
        <v>73</v>
      </c>
      <c r="AJ208" t="s">
        <v>70</v>
      </c>
      <c r="AK208" t="s">
        <v>809</v>
      </c>
      <c r="AL208" t="s">
        <v>2053</v>
      </c>
      <c r="AM208" t="s">
        <v>76</v>
      </c>
      <c r="AR208" t="s">
        <v>70</v>
      </c>
      <c r="AS208" t="s">
        <v>2778</v>
      </c>
      <c r="AT208" t="s">
        <v>2779</v>
      </c>
      <c r="AU208" t="s">
        <v>83</v>
      </c>
      <c r="AV208" t="s">
        <v>2780</v>
      </c>
      <c r="AW208" t="str">
        <f>"3402730"</f>
        <v>3402730</v>
      </c>
    </row>
    <row r="209" spans="1:49">
      <c r="A209" t="str">
        <f t="shared" si="10"/>
        <v>09</v>
      </c>
      <c r="B209" t="s">
        <v>2732</v>
      </c>
      <c r="C209" t="str">
        <f>"0730"</f>
        <v>0730</v>
      </c>
      <c r="D209" t="s">
        <v>2781</v>
      </c>
      <c r="F209" t="s">
        <v>70</v>
      </c>
      <c r="G209" t="s">
        <v>123</v>
      </c>
      <c r="H209" t="s">
        <v>2782</v>
      </c>
      <c r="I209" t="s">
        <v>89</v>
      </c>
      <c r="J209" s="2" t="s">
        <v>2783</v>
      </c>
      <c r="K209" t="s">
        <v>2784</v>
      </c>
      <c r="L209" t="s">
        <v>60</v>
      </c>
      <c r="M209" t="s">
        <v>2785</v>
      </c>
      <c r="N209" t="s">
        <v>62</v>
      </c>
      <c r="O209" t="str">
        <f>"08212"</f>
        <v>08212</v>
      </c>
      <c r="P209" t="s">
        <v>2784</v>
      </c>
      <c r="S209" t="s">
        <v>2785</v>
      </c>
      <c r="T209" t="s">
        <v>62</v>
      </c>
      <c r="U209" t="str">
        <f>"08212"</f>
        <v>08212</v>
      </c>
      <c r="W209" t="s">
        <v>2786</v>
      </c>
      <c r="X209" t="s">
        <v>70</v>
      </c>
      <c r="Y209" t="s">
        <v>123</v>
      </c>
      <c r="Z209" t="s">
        <v>2782</v>
      </c>
      <c r="AA209" t="s">
        <v>68</v>
      </c>
      <c r="AB209" t="s">
        <v>70</v>
      </c>
      <c r="AC209" t="s">
        <v>123</v>
      </c>
      <c r="AD209" t="s">
        <v>2782</v>
      </c>
      <c r="AE209" t="s">
        <v>69</v>
      </c>
      <c r="AF209" t="s">
        <v>70</v>
      </c>
      <c r="AG209" t="s">
        <v>123</v>
      </c>
      <c r="AH209" t="s">
        <v>2782</v>
      </c>
      <c r="AI209" t="s">
        <v>73</v>
      </c>
      <c r="AJ209" t="s">
        <v>70</v>
      </c>
      <c r="AK209" t="s">
        <v>123</v>
      </c>
      <c r="AL209" t="s">
        <v>2782</v>
      </c>
      <c r="AM209" t="s">
        <v>76</v>
      </c>
      <c r="AR209" t="s">
        <v>70</v>
      </c>
      <c r="AS209" t="s">
        <v>123</v>
      </c>
      <c r="AT209" t="s">
        <v>2782</v>
      </c>
      <c r="AU209" t="s">
        <v>83</v>
      </c>
      <c r="AV209" t="s">
        <v>2787</v>
      </c>
    </row>
    <row r="210" spans="1:49">
      <c r="A210" t="str">
        <f t="shared" si="10"/>
        <v>09</v>
      </c>
      <c r="B210" t="s">
        <v>2732</v>
      </c>
      <c r="C210" t="str">
        <f>"1080"</f>
        <v>1080</v>
      </c>
      <c r="D210" t="s">
        <v>2788</v>
      </c>
      <c r="F210" t="s">
        <v>54</v>
      </c>
      <c r="G210" t="s">
        <v>541</v>
      </c>
      <c r="H210" t="s">
        <v>2789</v>
      </c>
      <c r="I210" t="s">
        <v>57</v>
      </c>
      <c r="J210" s="2" t="s">
        <v>2790</v>
      </c>
      <c r="K210" t="s">
        <v>2791</v>
      </c>
      <c r="L210" t="s">
        <v>60</v>
      </c>
      <c r="M210" t="s">
        <v>2792</v>
      </c>
      <c r="N210" t="s">
        <v>62</v>
      </c>
      <c r="O210" t="str">
        <f>"08210"</f>
        <v>08210</v>
      </c>
      <c r="P210" t="s">
        <v>2791</v>
      </c>
      <c r="S210" t="s">
        <v>2793</v>
      </c>
      <c r="T210" t="s">
        <v>62</v>
      </c>
      <c r="U210" t="str">
        <f>"08210"</f>
        <v>08210</v>
      </c>
      <c r="W210" t="s">
        <v>2794</v>
      </c>
      <c r="X210" t="s">
        <v>54</v>
      </c>
      <c r="Y210" t="s">
        <v>2795</v>
      </c>
      <c r="Z210" t="s">
        <v>2796</v>
      </c>
      <c r="AA210" t="s">
        <v>135</v>
      </c>
      <c r="AB210" t="s">
        <v>54</v>
      </c>
      <c r="AC210" t="s">
        <v>851</v>
      </c>
      <c r="AD210" t="s">
        <v>2797</v>
      </c>
      <c r="AE210" t="s">
        <v>181</v>
      </c>
      <c r="AF210" t="s">
        <v>70</v>
      </c>
      <c r="AG210" t="s">
        <v>2798</v>
      </c>
      <c r="AH210" t="s">
        <v>2799</v>
      </c>
      <c r="AI210" t="s">
        <v>73</v>
      </c>
      <c r="AJ210" t="s">
        <v>54</v>
      </c>
      <c r="AK210" t="s">
        <v>1083</v>
      </c>
      <c r="AL210" t="s">
        <v>2800</v>
      </c>
      <c r="AM210" t="s">
        <v>76</v>
      </c>
      <c r="AN210" t="s">
        <v>77</v>
      </c>
      <c r="AO210" t="s">
        <v>2801</v>
      </c>
      <c r="AP210" t="s">
        <v>2802</v>
      </c>
      <c r="AQ210" t="s">
        <v>80</v>
      </c>
      <c r="AR210" t="s">
        <v>54</v>
      </c>
      <c r="AS210" t="s">
        <v>1083</v>
      </c>
      <c r="AT210" t="s">
        <v>2800</v>
      </c>
      <c r="AU210" t="s">
        <v>83</v>
      </c>
      <c r="AV210" t="s">
        <v>2803</v>
      </c>
      <c r="AW210" t="str">
        <f>"3403840"</f>
        <v>3403840</v>
      </c>
    </row>
    <row r="211" spans="1:49">
      <c r="A211" t="str">
        <f t="shared" si="10"/>
        <v>09</v>
      </c>
      <c r="B211" t="s">
        <v>2732</v>
      </c>
      <c r="C211" t="str">
        <f>"2820"</f>
        <v>2820</v>
      </c>
      <c r="D211" t="s">
        <v>2804</v>
      </c>
      <c r="F211" t="s">
        <v>77</v>
      </c>
      <c r="G211" t="s">
        <v>358</v>
      </c>
      <c r="H211" t="s">
        <v>2805</v>
      </c>
      <c r="I211" t="s">
        <v>89</v>
      </c>
      <c r="J211" s="2" t="s">
        <v>2806</v>
      </c>
      <c r="K211" t="s">
        <v>2807</v>
      </c>
      <c r="L211" t="s">
        <v>60</v>
      </c>
      <c r="M211" t="s">
        <v>2753</v>
      </c>
      <c r="N211" t="s">
        <v>62</v>
      </c>
      <c r="O211" t="str">
        <f>"08204"</f>
        <v>08204</v>
      </c>
      <c r="P211" t="s">
        <v>2807</v>
      </c>
      <c r="S211" t="s">
        <v>2753</v>
      </c>
      <c r="T211" t="s">
        <v>62</v>
      </c>
      <c r="U211" t="str">
        <f>"08204"</f>
        <v>08204</v>
      </c>
      <c r="W211" t="s">
        <v>2808</v>
      </c>
      <c r="X211" t="s">
        <v>77</v>
      </c>
      <c r="Y211" t="s">
        <v>404</v>
      </c>
      <c r="Z211" t="s">
        <v>2809</v>
      </c>
      <c r="AA211" t="s">
        <v>135</v>
      </c>
      <c r="AB211" t="s">
        <v>70</v>
      </c>
      <c r="AC211" t="s">
        <v>2810</v>
      </c>
      <c r="AD211" t="s">
        <v>2811</v>
      </c>
      <c r="AE211" t="s">
        <v>69</v>
      </c>
      <c r="AF211" t="s">
        <v>77</v>
      </c>
      <c r="AG211" t="s">
        <v>2812</v>
      </c>
      <c r="AH211" t="s">
        <v>2813</v>
      </c>
      <c r="AI211" t="s">
        <v>73</v>
      </c>
      <c r="AJ211" t="s">
        <v>77</v>
      </c>
      <c r="AK211" t="s">
        <v>306</v>
      </c>
      <c r="AL211" t="s">
        <v>2814</v>
      </c>
      <c r="AM211" t="s">
        <v>76</v>
      </c>
      <c r="AN211" t="s">
        <v>70</v>
      </c>
      <c r="AO211" t="s">
        <v>306</v>
      </c>
      <c r="AP211" t="s">
        <v>2814</v>
      </c>
      <c r="AQ211" t="s">
        <v>80</v>
      </c>
      <c r="AR211" t="s">
        <v>77</v>
      </c>
      <c r="AS211" t="s">
        <v>2812</v>
      </c>
      <c r="AT211" t="s">
        <v>2813</v>
      </c>
      <c r="AU211" t="s">
        <v>83</v>
      </c>
      <c r="AV211" t="s">
        <v>2815</v>
      </c>
      <c r="AW211" t="str">
        <f>"3409090"</f>
        <v>3409090</v>
      </c>
    </row>
    <row r="212" spans="1:49">
      <c r="A212" t="str">
        <f t="shared" si="10"/>
        <v>09</v>
      </c>
      <c r="B212" t="s">
        <v>2732</v>
      </c>
      <c r="C212" t="str">
        <f>"2840"</f>
        <v>2840</v>
      </c>
      <c r="D212" t="s">
        <v>2816</v>
      </c>
      <c r="F212" t="s">
        <v>77</v>
      </c>
      <c r="G212" t="s">
        <v>338</v>
      </c>
      <c r="H212" t="s">
        <v>2817</v>
      </c>
      <c r="I212" t="s">
        <v>89</v>
      </c>
      <c r="J212" s="2" t="s">
        <v>2818</v>
      </c>
      <c r="K212" t="s">
        <v>2819</v>
      </c>
      <c r="L212" t="s">
        <v>2820</v>
      </c>
      <c r="M212" t="s">
        <v>2753</v>
      </c>
      <c r="N212" t="s">
        <v>62</v>
      </c>
      <c r="O212" t="s">
        <v>2821</v>
      </c>
      <c r="P212" t="s">
        <v>2819</v>
      </c>
      <c r="Q212" t="s">
        <v>2822</v>
      </c>
      <c r="S212" t="s">
        <v>2753</v>
      </c>
      <c r="T212" t="s">
        <v>62</v>
      </c>
      <c r="U212" t="str">
        <f>"08204"</f>
        <v>08204</v>
      </c>
      <c r="V212" t="str">
        <f>"4650"</f>
        <v>4650</v>
      </c>
      <c r="W212" t="s">
        <v>2823</v>
      </c>
      <c r="X212" t="s">
        <v>77</v>
      </c>
      <c r="Y212" t="s">
        <v>328</v>
      </c>
      <c r="Z212" t="s">
        <v>2824</v>
      </c>
      <c r="AA212" t="s">
        <v>135</v>
      </c>
      <c r="AB212" t="s">
        <v>70</v>
      </c>
      <c r="AC212" t="s">
        <v>1653</v>
      </c>
      <c r="AD212" t="s">
        <v>2825</v>
      </c>
      <c r="AE212" t="s">
        <v>913</v>
      </c>
      <c r="AF212" t="s">
        <v>70</v>
      </c>
      <c r="AG212" t="s">
        <v>1653</v>
      </c>
      <c r="AH212" t="s">
        <v>2825</v>
      </c>
      <c r="AI212" t="s">
        <v>73</v>
      </c>
      <c r="AJ212" t="s">
        <v>54</v>
      </c>
      <c r="AK212" t="s">
        <v>2826</v>
      </c>
      <c r="AL212" t="s">
        <v>2827</v>
      </c>
      <c r="AM212" t="s">
        <v>76</v>
      </c>
      <c r="AN212" t="s">
        <v>70</v>
      </c>
      <c r="AO212" t="s">
        <v>2480</v>
      </c>
      <c r="AP212" t="s">
        <v>2828</v>
      </c>
      <c r="AQ212" t="s">
        <v>80</v>
      </c>
      <c r="AR212" t="s">
        <v>77</v>
      </c>
      <c r="AS212" t="s">
        <v>338</v>
      </c>
      <c r="AT212" t="s">
        <v>2817</v>
      </c>
      <c r="AU212" t="s">
        <v>83</v>
      </c>
      <c r="AV212" t="s">
        <v>2829</v>
      </c>
      <c r="AW212" t="str">
        <f>"3409150"</f>
        <v>3409150</v>
      </c>
    </row>
    <row r="213" spans="1:49">
      <c r="A213" t="str">
        <f t="shared" si="10"/>
        <v>09</v>
      </c>
      <c r="B213" t="s">
        <v>2732</v>
      </c>
      <c r="C213" t="str">
        <f>"3130"</f>
        <v>3130</v>
      </c>
      <c r="D213" t="s">
        <v>2830</v>
      </c>
      <c r="F213" t="s">
        <v>65</v>
      </c>
      <c r="G213" t="s">
        <v>190</v>
      </c>
      <c r="H213" t="s">
        <v>2831</v>
      </c>
      <c r="I213" t="s">
        <v>89</v>
      </c>
      <c r="J213" s="2" t="s">
        <v>2832</v>
      </c>
      <c r="K213" t="s">
        <v>2833</v>
      </c>
      <c r="L213" t="s">
        <v>60</v>
      </c>
      <c r="M213" t="s">
        <v>2764</v>
      </c>
      <c r="N213" t="s">
        <v>62</v>
      </c>
      <c r="O213" t="str">
        <f>"08210"</f>
        <v>08210</v>
      </c>
      <c r="P213" t="s">
        <v>2833</v>
      </c>
      <c r="S213" t="s">
        <v>2764</v>
      </c>
      <c r="T213" t="s">
        <v>62</v>
      </c>
      <c r="U213" t="str">
        <f>"08210"</f>
        <v>08210</v>
      </c>
      <c r="W213" t="s">
        <v>2834</v>
      </c>
      <c r="X213" t="s">
        <v>70</v>
      </c>
      <c r="Y213" t="s">
        <v>1017</v>
      </c>
      <c r="Z213" t="s">
        <v>187</v>
      </c>
      <c r="AA213" t="s">
        <v>135</v>
      </c>
      <c r="AB213" t="s">
        <v>77</v>
      </c>
      <c r="AC213" t="s">
        <v>873</v>
      </c>
      <c r="AD213" t="s">
        <v>2523</v>
      </c>
      <c r="AE213" t="s">
        <v>181</v>
      </c>
      <c r="AF213" t="s">
        <v>77</v>
      </c>
      <c r="AG213" t="s">
        <v>873</v>
      </c>
      <c r="AH213" t="s">
        <v>2523</v>
      </c>
      <c r="AI213" t="s">
        <v>73</v>
      </c>
      <c r="AJ213" t="s">
        <v>65</v>
      </c>
      <c r="AK213" t="s">
        <v>1484</v>
      </c>
      <c r="AL213" t="s">
        <v>2835</v>
      </c>
      <c r="AM213" t="s">
        <v>76</v>
      </c>
      <c r="AN213" t="s">
        <v>77</v>
      </c>
      <c r="AO213" t="s">
        <v>293</v>
      </c>
      <c r="AP213" t="s">
        <v>2836</v>
      </c>
      <c r="AQ213" t="s">
        <v>80</v>
      </c>
      <c r="AR213" t="s">
        <v>77</v>
      </c>
      <c r="AS213" t="s">
        <v>436</v>
      </c>
      <c r="AT213" t="s">
        <v>2837</v>
      </c>
      <c r="AU213" t="s">
        <v>83</v>
      </c>
      <c r="AV213" t="s">
        <v>2838</v>
      </c>
      <c r="AW213" t="str">
        <f>"3410020"</f>
        <v>3410020</v>
      </c>
    </row>
    <row r="214" spans="1:49">
      <c r="A214" t="str">
        <f t="shared" si="10"/>
        <v>09</v>
      </c>
      <c r="B214" t="s">
        <v>2732</v>
      </c>
      <c r="C214" t="str">
        <f>"3680"</f>
        <v>3680</v>
      </c>
      <c r="D214" t="s">
        <v>2839</v>
      </c>
      <c r="F214" t="s">
        <v>77</v>
      </c>
      <c r="G214" t="s">
        <v>287</v>
      </c>
      <c r="H214" t="s">
        <v>2840</v>
      </c>
      <c r="I214" t="s">
        <v>57</v>
      </c>
      <c r="J214" s="2" t="s">
        <v>2841</v>
      </c>
      <c r="K214" t="s">
        <v>2842</v>
      </c>
      <c r="L214" t="s">
        <v>60</v>
      </c>
      <c r="M214" t="s">
        <v>2843</v>
      </c>
      <c r="N214" t="s">
        <v>62</v>
      </c>
      <c r="O214" t="str">
        <f>"08260"</f>
        <v>08260</v>
      </c>
      <c r="P214" t="s">
        <v>2842</v>
      </c>
      <c r="S214" t="s">
        <v>2843</v>
      </c>
      <c r="T214" t="s">
        <v>62</v>
      </c>
      <c r="U214" t="str">
        <f>"08260"</f>
        <v>08260</v>
      </c>
      <c r="W214" t="s">
        <v>2844</v>
      </c>
      <c r="X214" t="s">
        <v>70</v>
      </c>
      <c r="Y214" t="s">
        <v>123</v>
      </c>
      <c r="Z214" t="s">
        <v>2782</v>
      </c>
      <c r="AA214" t="s">
        <v>135</v>
      </c>
      <c r="AB214" t="s">
        <v>54</v>
      </c>
      <c r="AC214" t="s">
        <v>2185</v>
      </c>
      <c r="AD214" t="s">
        <v>2845</v>
      </c>
      <c r="AE214" t="s">
        <v>415</v>
      </c>
      <c r="AF214" t="s">
        <v>54</v>
      </c>
      <c r="AG214" t="s">
        <v>2185</v>
      </c>
      <c r="AH214" t="s">
        <v>2845</v>
      </c>
      <c r="AI214" t="s">
        <v>73</v>
      </c>
      <c r="AJ214" t="s">
        <v>54</v>
      </c>
      <c r="AK214" t="s">
        <v>2185</v>
      </c>
      <c r="AL214" t="s">
        <v>2845</v>
      </c>
      <c r="AM214" t="s">
        <v>76</v>
      </c>
      <c r="AN214" t="s">
        <v>77</v>
      </c>
      <c r="AO214" t="s">
        <v>287</v>
      </c>
      <c r="AP214" t="s">
        <v>2840</v>
      </c>
      <c r="AQ214" t="s">
        <v>80</v>
      </c>
      <c r="AR214" t="s">
        <v>77</v>
      </c>
      <c r="AS214" t="s">
        <v>287</v>
      </c>
      <c r="AT214" t="s">
        <v>2840</v>
      </c>
      <c r="AU214" t="s">
        <v>83</v>
      </c>
      <c r="AV214" t="s">
        <v>2846</v>
      </c>
      <c r="AW214" t="str">
        <f>"3411670"</f>
        <v>3411670</v>
      </c>
    </row>
    <row r="215" spans="1:49">
      <c r="A215" t="str">
        <f t="shared" si="10"/>
        <v>09</v>
      </c>
      <c r="B215" t="s">
        <v>2732</v>
      </c>
      <c r="C215" t="str">
        <f>"3780"</f>
        <v>3780</v>
      </c>
      <c r="D215" t="s">
        <v>2847</v>
      </c>
      <c r="F215" t="s">
        <v>65</v>
      </c>
      <c r="G215" t="s">
        <v>771</v>
      </c>
      <c r="H215" t="s">
        <v>899</v>
      </c>
      <c r="I215" t="s">
        <v>89</v>
      </c>
      <c r="J215" s="2" t="s">
        <v>2848</v>
      </c>
      <c r="K215" t="s">
        <v>2849</v>
      </c>
      <c r="L215" t="s">
        <v>60</v>
      </c>
      <c r="M215" t="s">
        <v>231</v>
      </c>
      <c r="N215" t="s">
        <v>62</v>
      </c>
      <c r="O215" t="str">
        <f>"08226"</f>
        <v>08226</v>
      </c>
      <c r="P215" t="s">
        <v>2849</v>
      </c>
      <c r="Q215" t="s">
        <v>2850</v>
      </c>
      <c r="S215" t="s">
        <v>231</v>
      </c>
      <c r="T215" t="s">
        <v>62</v>
      </c>
      <c r="U215" t="str">
        <f>"08226"</f>
        <v>08226</v>
      </c>
      <c r="W215" t="s">
        <v>2851</v>
      </c>
      <c r="Y215" t="s">
        <v>509</v>
      </c>
      <c r="Z215" t="s">
        <v>1828</v>
      </c>
      <c r="AA215" t="s">
        <v>135</v>
      </c>
      <c r="AC215" t="s">
        <v>505</v>
      </c>
      <c r="AD215" t="s">
        <v>506</v>
      </c>
      <c r="AE215" t="s">
        <v>69</v>
      </c>
      <c r="AG215" t="s">
        <v>2852</v>
      </c>
      <c r="AH215" t="s">
        <v>1362</v>
      </c>
      <c r="AI215" t="s">
        <v>73</v>
      </c>
      <c r="AK215" t="s">
        <v>2853</v>
      </c>
      <c r="AL215" t="s">
        <v>2854</v>
      </c>
      <c r="AM215" t="s">
        <v>76</v>
      </c>
      <c r="AO215" t="s">
        <v>2853</v>
      </c>
      <c r="AP215" t="s">
        <v>2854</v>
      </c>
      <c r="AQ215" t="s">
        <v>80</v>
      </c>
      <c r="AS215" t="s">
        <v>509</v>
      </c>
      <c r="AT215" t="s">
        <v>1828</v>
      </c>
      <c r="AU215" t="s">
        <v>83</v>
      </c>
      <c r="AV215" t="s">
        <v>2855</v>
      </c>
      <c r="AW215" t="str">
        <f>"3411970"</f>
        <v>3411970</v>
      </c>
    </row>
    <row r="216" spans="1:49">
      <c r="A216" t="str">
        <f t="shared" si="10"/>
        <v>09</v>
      </c>
      <c r="B216" t="s">
        <v>2732</v>
      </c>
      <c r="C216" t="str">
        <f>"4700"</f>
        <v>4700</v>
      </c>
      <c r="D216" t="s">
        <v>2856</v>
      </c>
      <c r="F216" t="s">
        <v>77</v>
      </c>
      <c r="G216" t="s">
        <v>243</v>
      </c>
      <c r="H216" t="s">
        <v>2857</v>
      </c>
      <c r="I216" t="s">
        <v>57</v>
      </c>
      <c r="J216" s="2" t="s">
        <v>2858</v>
      </c>
      <c r="K216" t="s">
        <v>2859</v>
      </c>
      <c r="L216" t="s">
        <v>60</v>
      </c>
      <c r="M216" t="s">
        <v>2860</v>
      </c>
      <c r="N216" t="s">
        <v>62</v>
      </c>
      <c r="O216" t="str">
        <f>"08243"</f>
        <v>08243</v>
      </c>
      <c r="P216" t="s">
        <v>2859</v>
      </c>
      <c r="S216" t="s">
        <v>2860</v>
      </c>
      <c r="T216" t="s">
        <v>62</v>
      </c>
      <c r="U216" t="str">
        <f>"08243"</f>
        <v>08243</v>
      </c>
      <c r="W216" t="s">
        <v>2861</v>
      </c>
      <c r="X216" t="s">
        <v>77</v>
      </c>
      <c r="Y216" t="s">
        <v>509</v>
      </c>
      <c r="Z216" t="s">
        <v>1828</v>
      </c>
      <c r="AA216" t="s">
        <v>68</v>
      </c>
      <c r="AC216" t="s">
        <v>243</v>
      </c>
      <c r="AD216" t="s">
        <v>2857</v>
      </c>
      <c r="AE216" t="s">
        <v>181</v>
      </c>
      <c r="AF216" t="s">
        <v>77</v>
      </c>
      <c r="AG216" t="s">
        <v>243</v>
      </c>
      <c r="AH216" t="s">
        <v>2857</v>
      </c>
      <c r="AI216" t="s">
        <v>73</v>
      </c>
      <c r="AK216" t="s">
        <v>243</v>
      </c>
      <c r="AL216" t="s">
        <v>2857</v>
      </c>
      <c r="AM216" t="s">
        <v>76</v>
      </c>
      <c r="AR216" t="s">
        <v>77</v>
      </c>
      <c r="AS216" t="s">
        <v>509</v>
      </c>
      <c r="AT216" t="s">
        <v>1828</v>
      </c>
      <c r="AU216" t="s">
        <v>83</v>
      </c>
      <c r="AV216" t="s">
        <v>2862</v>
      </c>
      <c r="AW216" t="str">
        <f>"3414760"</f>
        <v>3414760</v>
      </c>
    </row>
    <row r="217" spans="1:49">
      <c r="A217" t="str">
        <f t="shared" si="10"/>
        <v>09</v>
      </c>
      <c r="B217" t="s">
        <v>2732</v>
      </c>
      <c r="C217" t="str">
        <f>"5060"</f>
        <v>5060</v>
      </c>
      <c r="D217" t="s">
        <v>2863</v>
      </c>
      <c r="F217" t="s">
        <v>54</v>
      </c>
      <c r="G217" t="s">
        <v>1655</v>
      </c>
      <c r="H217" t="s">
        <v>2734</v>
      </c>
      <c r="I217" t="s">
        <v>57</v>
      </c>
      <c r="J217" s="2" t="s">
        <v>2864</v>
      </c>
      <c r="K217" t="s">
        <v>2865</v>
      </c>
      <c r="L217" t="s">
        <v>60</v>
      </c>
      <c r="M217" t="s">
        <v>2866</v>
      </c>
      <c r="N217" t="s">
        <v>62</v>
      </c>
      <c r="O217" t="str">
        <f>"08247"</f>
        <v>08247</v>
      </c>
      <c r="P217" t="s">
        <v>2865</v>
      </c>
      <c r="S217" t="s">
        <v>2866</v>
      </c>
      <c r="T217" t="s">
        <v>62</v>
      </c>
      <c r="U217" t="str">
        <f>"08247"</f>
        <v>08247</v>
      </c>
      <c r="W217" t="s">
        <v>2867</v>
      </c>
      <c r="X217" t="s">
        <v>70</v>
      </c>
      <c r="Y217" t="s">
        <v>447</v>
      </c>
      <c r="Z217" t="s">
        <v>2740</v>
      </c>
      <c r="AA217" t="s">
        <v>135</v>
      </c>
      <c r="AB217" t="s">
        <v>54</v>
      </c>
      <c r="AC217" t="s">
        <v>2741</v>
      </c>
      <c r="AD217" t="s">
        <v>2742</v>
      </c>
      <c r="AE217" t="s">
        <v>181</v>
      </c>
      <c r="AF217" t="s">
        <v>54</v>
      </c>
      <c r="AG217" t="s">
        <v>2743</v>
      </c>
      <c r="AH217" t="s">
        <v>2744</v>
      </c>
      <c r="AI217" t="s">
        <v>73</v>
      </c>
      <c r="AJ217" t="s">
        <v>77</v>
      </c>
      <c r="AK217" t="s">
        <v>2745</v>
      </c>
      <c r="AL217" t="s">
        <v>2746</v>
      </c>
      <c r="AM217" t="s">
        <v>76</v>
      </c>
      <c r="AN217" t="s">
        <v>77</v>
      </c>
      <c r="AO217" t="s">
        <v>2745</v>
      </c>
      <c r="AP217" t="s">
        <v>2746</v>
      </c>
      <c r="AQ217" t="s">
        <v>80</v>
      </c>
      <c r="AR217" t="s">
        <v>65</v>
      </c>
      <c r="AS217" t="s">
        <v>680</v>
      </c>
      <c r="AT217" t="s">
        <v>2747</v>
      </c>
      <c r="AU217" t="s">
        <v>83</v>
      </c>
      <c r="AV217" t="s">
        <v>2748</v>
      </c>
      <c r="AW217" t="str">
        <f>"3415810"</f>
        <v>3415810</v>
      </c>
    </row>
    <row r="218" spans="1:49">
      <c r="A218" t="str">
        <f t="shared" si="10"/>
        <v>09</v>
      </c>
      <c r="B218" t="s">
        <v>2732</v>
      </c>
      <c r="C218" t="str">
        <f>"5340"</f>
        <v>5340</v>
      </c>
      <c r="D218" t="s">
        <v>2868</v>
      </c>
      <c r="F218" t="s">
        <v>77</v>
      </c>
      <c r="G218" t="s">
        <v>687</v>
      </c>
      <c r="H218" t="s">
        <v>2869</v>
      </c>
      <c r="I218" t="s">
        <v>89</v>
      </c>
      <c r="J218" s="2" t="s">
        <v>2870</v>
      </c>
      <c r="K218" t="s">
        <v>2871</v>
      </c>
      <c r="L218" t="s">
        <v>60</v>
      </c>
      <c r="M218" t="s">
        <v>2872</v>
      </c>
      <c r="N218" t="s">
        <v>62</v>
      </c>
      <c r="O218" t="str">
        <f>"08270"</f>
        <v>08270</v>
      </c>
      <c r="P218" t="s">
        <v>2871</v>
      </c>
      <c r="S218" t="s">
        <v>2872</v>
      </c>
      <c r="T218" t="s">
        <v>62</v>
      </c>
      <c r="U218" t="str">
        <f>"08270"</f>
        <v>08270</v>
      </c>
      <c r="W218" t="s">
        <v>2873</v>
      </c>
      <c r="X218" t="s">
        <v>54</v>
      </c>
      <c r="Y218" t="s">
        <v>2874</v>
      </c>
      <c r="Z218" t="s">
        <v>357</v>
      </c>
      <c r="AA218" t="s">
        <v>135</v>
      </c>
      <c r="AB218" t="s">
        <v>77</v>
      </c>
      <c r="AC218" t="s">
        <v>212</v>
      </c>
      <c r="AD218" t="s">
        <v>2875</v>
      </c>
      <c r="AE218" t="s">
        <v>69</v>
      </c>
      <c r="AF218" t="s">
        <v>77</v>
      </c>
      <c r="AG218" t="s">
        <v>212</v>
      </c>
      <c r="AH218" t="s">
        <v>2875</v>
      </c>
      <c r="AI218" t="s">
        <v>73</v>
      </c>
      <c r="AJ218" t="s">
        <v>77</v>
      </c>
      <c r="AK218" t="s">
        <v>2374</v>
      </c>
      <c r="AL218" t="s">
        <v>2876</v>
      </c>
      <c r="AM218" t="s">
        <v>76</v>
      </c>
      <c r="AN218" t="s">
        <v>77</v>
      </c>
      <c r="AO218" t="s">
        <v>2877</v>
      </c>
      <c r="AP218" t="s">
        <v>1886</v>
      </c>
      <c r="AQ218" t="s">
        <v>80</v>
      </c>
      <c r="AR218" t="s">
        <v>77</v>
      </c>
      <c r="AS218" t="s">
        <v>687</v>
      </c>
      <c r="AT218" t="s">
        <v>537</v>
      </c>
      <c r="AU218" t="s">
        <v>83</v>
      </c>
      <c r="AV218" t="s">
        <v>2878</v>
      </c>
      <c r="AW218" t="str">
        <f>"3416650"</f>
        <v>3416650</v>
      </c>
    </row>
    <row r="219" spans="1:49">
      <c r="A219" t="str">
        <f t="shared" si="10"/>
        <v>09</v>
      </c>
      <c r="B219" t="s">
        <v>2732</v>
      </c>
      <c r="C219" t="str">
        <f>"5610"</f>
        <v>5610</v>
      </c>
      <c r="D219" t="s">
        <v>2879</v>
      </c>
      <c r="F219" t="s">
        <v>77</v>
      </c>
      <c r="G219" t="s">
        <v>873</v>
      </c>
      <c r="H219" t="s">
        <v>2750</v>
      </c>
      <c r="I219" t="s">
        <v>408</v>
      </c>
      <c r="J219" s="2" t="s">
        <v>2880</v>
      </c>
      <c r="K219" t="s">
        <v>2881</v>
      </c>
      <c r="L219" t="s">
        <v>60</v>
      </c>
      <c r="M219" t="s">
        <v>2882</v>
      </c>
      <c r="N219" t="s">
        <v>62</v>
      </c>
      <c r="O219" t="s">
        <v>2883</v>
      </c>
      <c r="P219" t="s">
        <v>2881</v>
      </c>
      <c r="S219" t="s">
        <v>2882</v>
      </c>
      <c r="T219" t="s">
        <v>62</v>
      </c>
      <c r="U219" t="str">
        <f>"08204"</f>
        <v>08204</v>
      </c>
      <c r="V219" t="str">
        <f>"1199"</f>
        <v>1199</v>
      </c>
      <c r="W219" t="s">
        <v>2884</v>
      </c>
      <c r="X219" t="s">
        <v>77</v>
      </c>
      <c r="Y219" t="s">
        <v>478</v>
      </c>
      <c r="Z219" t="s">
        <v>479</v>
      </c>
      <c r="AA219" t="s">
        <v>135</v>
      </c>
      <c r="AB219" t="s">
        <v>70</v>
      </c>
      <c r="AC219" t="s">
        <v>1164</v>
      </c>
      <c r="AD219" t="s">
        <v>2885</v>
      </c>
      <c r="AE219" t="s">
        <v>181</v>
      </c>
      <c r="AF219" t="s">
        <v>54</v>
      </c>
      <c r="AG219" t="s">
        <v>559</v>
      </c>
      <c r="AH219" t="s">
        <v>2886</v>
      </c>
      <c r="AI219" t="s">
        <v>73</v>
      </c>
      <c r="AJ219" t="s">
        <v>70</v>
      </c>
      <c r="AK219" t="s">
        <v>2887</v>
      </c>
      <c r="AL219" t="s">
        <v>2888</v>
      </c>
      <c r="AM219" t="s">
        <v>76</v>
      </c>
      <c r="AR219" t="s">
        <v>54</v>
      </c>
      <c r="AS219" t="s">
        <v>559</v>
      </c>
      <c r="AT219" t="s">
        <v>2886</v>
      </c>
      <c r="AU219" t="s">
        <v>83</v>
      </c>
      <c r="AV219" t="s">
        <v>2889</v>
      </c>
      <c r="AW219" t="str">
        <f>"3417400"</f>
        <v>3417400</v>
      </c>
    </row>
    <row r="220" spans="1:49">
      <c r="A220" t="str">
        <f t="shared" si="10"/>
        <v>09</v>
      </c>
      <c r="B220" t="s">
        <v>2732</v>
      </c>
      <c r="C220" t="str">
        <f>"5700"</f>
        <v>5700</v>
      </c>
      <c r="D220" t="s">
        <v>2890</v>
      </c>
      <c r="K220" t="s">
        <v>2891</v>
      </c>
      <c r="L220" t="s">
        <v>60</v>
      </c>
      <c r="M220" t="s">
        <v>2892</v>
      </c>
      <c r="N220" t="s">
        <v>62</v>
      </c>
      <c r="O220" t="str">
        <f>"08260"</f>
        <v>08260</v>
      </c>
      <c r="P220" t="s">
        <v>2893</v>
      </c>
      <c r="S220" t="s">
        <v>2892</v>
      </c>
      <c r="T220" t="s">
        <v>62</v>
      </c>
      <c r="U220" t="str">
        <f>"08260"</f>
        <v>08260</v>
      </c>
      <c r="X220" t="s">
        <v>77</v>
      </c>
      <c r="Y220" t="s">
        <v>2894</v>
      </c>
      <c r="Z220" t="s">
        <v>2895</v>
      </c>
      <c r="AA220" t="s">
        <v>135</v>
      </c>
      <c r="AV220" t="s">
        <v>2896</v>
      </c>
    </row>
    <row r="221" spans="1:49">
      <c r="A221" t="str">
        <f t="shared" si="10"/>
        <v>09</v>
      </c>
      <c r="B221" t="s">
        <v>2732</v>
      </c>
      <c r="C221" t="str">
        <f>"5790"</f>
        <v>5790</v>
      </c>
      <c r="D221" t="s">
        <v>2897</v>
      </c>
      <c r="G221" t="s">
        <v>2898</v>
      </c>
      <c r="H221" t="s">
        <v>2899</v>
      </c>
      <c r="I221" t="s">
        <v>89</v>
      </c>
      <c r="J221" s="2" t="s">
        <v>2900</v>
      </c>
      <c r="K221" t="s">
        <v>2901</v>
      </c>
      <c r="L221" t="s">
        <v>60</v>
      </c>
      <c r="M221" t="s">
        <v>2902</v>
      </c>
      <c r="N221" t="s">
        <v>62</v>
      </c>
      <c r="O221" t="str">
        <f>"08260"</f>
        <v>08260</v>
      </c>
      <c r="P221" t="s">
        <v>2901</v>
      </c>
      <c r="S221" t="s">
        <v>2902</v>
      </c>
      <c r="T221" t="s">
        <v>62</v>
      </c>
      <c r="U221" t="str">
        <f>"08260"</f>
        <v>08260</v>
      </c>
      <c r="W221" t="s">
        <v>2903</v>
      </c>
      <c r="Y221" t="s">
        <v>243</v>
      </c>
      <c r="Z221" t="s">
        <v>2904</v>
      </c>
      <c r="AA221" t="s">
        <v>135</v>
      </c>
      <c r="AC221" t="s">
        <v>680</v>
      </c>
      <c r="AD221" t="s">
        <v>2905</v>
      </c>
      <c r="AE221" t="s">
        <v>415</v>
      </c>
      <c r="AG221" t="s">
        <v>680</v>
      </c>
      <c r="AH221" t="s">
        <v>2905</v>
      </c>
      <c r="AI221" t="s">
        <v>73</v>
      </c>
      <c r="AK221" t="s">
        <v>116</v>
      </c>
      <c r="AL221" t="s">
        <v>2906</v>
      </c>
      <c r="AM221" t="s">
        <v>76</v>
      </c>
      <c r="AO221" t="s">
        <v>2907</v>
      </c>
      <c r="AP221" t="s">
        <v>2908</v>
      </c>
      <c r="AQ221" t="s">
        <v>80</v>
      </c>
      <c r="AS221" t="s">
        <v>144</v>
      </c>
      <c r="AT221" t="s">
        <v>2909</v>
      </c>
      <c r="AU221" t="s">
        <v>83</v>
      </c>
      <c r="AV221" t="s">
        <v>2910</v>
      </c>
      <c r="AW221" t="str">
        <f>"3417940"</f>
        <v>3417940</v>
      </c>
    </row>
    <row r="222" spans="1:49">
      <c r="A222" t="str">
        <f t="shared" si="10"/>
        <v>09</v>
      </c>
      <c r="B222" t="s">
        <v>2732</v>
      </c>
      <c r="C222" t="str">
        <f>"5800"</f>
        <v>5800</v>
      </c>
      <c r="D222" t="s">
        <v>2911</v>
      </c>
      <c r="F222" t="s">
        <v>77</v>
      </c>
      <c r="G222" t="s">
        <v>190</v>
      </c>
      <c r="H222" t="s">
        <v>2912</v>
      </c>
      <c r="I222" t="s">
        <v>57</v>
      </c>
      <c r="J222" s="2" t="s">
        <v>2913</v>
      </c>
      <c r="K222" t="s">
        <v>2914</v>
      </c>
      <c r="L222" t="s">
        <v>60</v>
      </c>
      <c r="M222" t="s">
        <v>2915</v>
      </c>
      <c r="N222" t="s">
        <v>62</v>
      </c>
      <c r="O222" t="str">
        <f>"08260"</f>
        <v>08260</v>
      </c>
      <c r="P222" t="s">
        <v>2914</v>
      </c>
      <c r="S222" t="s">
        <v>2915</v>
      </c>
      <c r="T222" t="s">
        <v>62</v>
      </c>
      <c r="U222" t="str">
        <f>"08260"</f>
        <v>08260</v>
      </c>
      <c r="V222" t="str">
        <f>"0820"</f>
        <v>0820</v>
      </c>
      <c r="W222" t="s">
        <v>2916</v>
      </c>
      <c r="X222" t="s">
        <v>77</v>
      </c>
      <c r="Y222" t="s">
        <v>182</v>
      </c>
      <c r="Z222" t="s">
        <v>2917</v>
      </c>
      <c r="AA222" t="s">
        <v>68</v>
      </c>
      <c r="AB222" t="s">
        <v>54</v>
      </c>
      <c r="AC222" t="s">
        <v>1346</v>
      </c>
      <c r="AD222" t="s">
        <v>2918</v>
      </c>
      <c r="AE222" t="s">
        <v>415</v>
      </c>
      <c r="AF222" t="s">
        <v>77</v>
      </c>
      <c r="AG222" t="s">
        <v>2919</v>
      </c>
      <c r="AH222" t="s">
        <v>2920</v>
      </c>
      <c r="AI222" t="s">
        <v>73</v>
      </c>
      <c r="AJ222" t="s">
        <v>77</v>
      </c>
      <c r="AK222" t="s">
        <v>2919</v>
      </c>
      <c r="AL222" t="s">
        <v>2920</v>
      </c>
      <c r="AM222" t="s">
        <v>76</v>
      </c>
      <c r="AN222" t="s">
        <v>77</v>
      </c>
      <c r="AO222" t="s">
        <v>2919</v>
      </c>
      <c r="AP222" t="s">
        <v>2920</v>
      </c>
      <c r="AQ222" t="s">
        <v>80</v>
      </c>
      <c r="AR222" t="s">
        <v>77</v>
      </c>
      <c r="AS222" t="s">
        <v>190</v>
      </c>
      <c r="AT222" t="s">
        <v>2912</v>
      </c>
      <c r="AU222" t="s">
        <v>83</v>
      </c>
      <c r="AV222" t="s">
        <v>2921</v>
      </c>
      <c r="AW222" t="str">
        <f>"3417970"</f>
        <v>3417970</v>
      </c>
    </row>
    <row r="223" spans="1:49">
      <c r="A223" t="str">
        <f t="shared" si="10"/>
        <v>09</v>
      </c>
      <c r="B223" t="s">
        <v>2732</v>
      </c>
      <c r="C223" t="str">
        <f>"5840"</f>
        <v>5840</v>
      </c>
      <c r="D223" t="s">
        <v>2922</v>
      </c>
      <c r="F223" t="s">
        <v>77</v>
      </c>
      <c r="G223" t="s">
        <v>166</v>
      </c>
      <c r="H223" t="s">
        <v>2923</v>
      </c>
      <c r="I223" t="s">
        <v>57</v>
      </c>
      <c r="J223" s="2" t="s">
        <v>2924</v>
      </c>
      <c r="K223" t="s">
        <v>2925</v>
      </c>
      <c r="L223" t="s">
        <v>60</v>
      </c>
      <c r="M223" t="s">
        <v>2926</v>
      </c>
      <c r="N223" t="s">
        <v>62</v>
      </c>
      <c r="O223" t="str">
        <f>"08270"</f>
        <v>08270</v>
      </c>
      <c r="P223" t="s">
        <v>2925</v>
      </c>
      <c r="S223" t="s">
        <v>2926</v>
      </c>
      <c r="T223" t="s">
        <v>62</v>
      </c>
      <c r="U223" t="str">
        <f>"08270"</f>
        <v>08270</v>
      </c>
      <c r="W223" t="s">
        <v>2927</v>
      </c>
      <c r="X223" t="s">
        <v>77</v>
      </c>
      <c r="Y223" t="s">
        <v>358</v>
      </c>
      <c r="Z223" t="s">
        <v>2928</v>
      </c>
      <c r="AA223" t="s">
        <v>135</v>
      </c>
      <c r="AB223" t="s">
        <v>77</v>
      </c>
      <c r="AC223" t="s">
        <v>2929</v>
      </c>
      <c r="AD223" t="s">
        <v>2930</v>
      </c>
      <c r="AE223" t="s">
        <v>98</v>
      </c>
      <c r="AF223" t="s">
        <v>54</v>
      </c>
      <c r="AG223" t="s">
        <v>371</v>
      </c>
      <c r="AH223" t="s">
        <v>2931</v>
      </c>
      <c r="AI223" t="s">
        <v>73</v>
      </c>
      <c r="AJ223" t="s">
        <v>54</v>
      </c>
      <c r="AK223" t="s">
        <v>371</v>
      </c>
      <c r="AL223" t="s">
        <v>2931</v>
      </c>
      <c r="AM223" t="s">
        <v>76</v>
      </c>
      <c r="AR223" t="s">
        <v>77</v>
      </c>
      <c r="AS223" t="s">
        <v>166</v>
      </c>
      <c r="AT223" t="s">
        <v>2932</v>
      </c>
      <c r="AU223" t="s">
        <v>83</v>
      </c>
      <c r="AV223" t="s">
        <v>2933</v>
      </c>
      <c r="AW223" t="str">
        <f>"3418090"</f>
        <v>3418090</v>
      </c>
    </row>
    <row r="224" spans="1:49">
      <c r="A224" t="str">
        <f>"11"</f>
        <v>11</v>
      </c>
      <c r="B224" t="s">
        <v>2934</v>
      </c>
      <c r="C224" t="str">
        <f>"0540"</f>
        <v>0540</v>
      </c>
      <c r="D224" t="s">
        <v>2935</v>
      </c>
      <c r="F224" t="s">
        <v>65</v>
      </c>
      <c r="G224" t="s">
        <v>697</v>
      </c>
      <c r="H224" t="s">
        <v>2936</v>
      </c>
      <c r="I224" t="s">
        <v>89</v>
      </c>
      <c r="J224" s="2" t="s">
        <v>2937</v>
      </c>
      <c r="K224" t="s">
        <v>2938</v>
      </c>
      <c r="L224" t="s">
        <v>60</v>
      </c>
      <c r="M224" t="s">
        <v>2939</v>
      </c>
      <c r="N224" t="s">
        <v>62</v>
      </c>
      <c r="O224" t="str">
        <f>"08302"</f>
        <v>08302</v>
      </c>
      <c r="P224" t="s">
        <v>2938</v>
      </c>
      <c r="S224" t="s">
        <v>2939</v>
      </c>
      <c r="T224" t="s">
        <v>62</v>
      </c>
      <c r="U224" t="str">
        <f>"08302"</f>
        <v>08302</v>
      </c>
      <c r="W224" t="s">
        <v>2940</v>
      </c>
      <c r="X224" t="s">
        <v>54</v>
      </c>
      <c r="Y224" t="s">
        <v>371</v>
      </c>
      <c r="Z224" t="s">
        <v>2941</v>
      </c>
      <c r="AA224" t="s">
        <v>135</v>
      </c>
      <c r="AB224" t="s">
        <v>65</v>
      </c>
      <c r="AC224" t="s">
        <v>2942</v>
      </c>
      <c r="AD224" t="s">
        <v>2943</v>
      </c>
      <c r="AE224" t="s">
        <v>587</v>
      </c>
      <c r="AF224" t="s">
        <v>65</v>
      </c>
      <c r="AG224" t="s">
        <v>287</v>
      </c>
      <c r="AH224" t="s">
        <v>2944</v>
      </c>
      <c r="AI224" t="s">
        <v>73</v>
      </c>
      <c r="AJ224" t="s">
        <v>65</v>
      </c>
      <c r="AK224" t="s">
        <v>287</v>
      </c>
      <c r="AL224" t="s">
        <v>2944</v>
      </c>
      <c r="AM224" t="s">
        <v>76</v>
      </c>
      <c r="AN224" t="s">
        <v>77</v>
      </c>
      <c r="AO224" t="s">
        <v>2945</v>
      </c>
      <c r="AP224" t="s">
        <v>648</v>
      </c>
      <c r="AQ224" t="s">
        <v>80</v>
      </c>
      <c r="AR224" t="s">
        <v>77</v>
      </c>
      <c r="AS224" t="s">
        <v>310</v>
      </c>
      <c r="AT224" t="s">
        <v>2946</v>
      </c>
      <c r="AU224" t="s">
        <v>83</v>
      </c>
      <c r="AV224" t="s">
        <v>2947</v>
      </c>
      <c r="AW224" t="str">
        <f>"3402250"</f>
        <v>3402250</v>
      </c>
    </row>
    <row r="225" spans="1:49">
      <c r="A225" t="str">
        <f>"80"</f>
        <v>80</v>
      </c>
      <c r="B225" t="s">
        <v>2934</v>
      </c>
      <c r="C225" t="str">
        <f>"6100"</f>
        <v>6100</v>
      </c>
      <c r="D225" t="s">
        <v>2948</v>
      </c>
      <c r="E225" t="str">
        <f>"991"</f>
        <v>991</v>
      </c>
      <c r="F225" t="s">
        <v>54</v>
      </c>
      <c r="G225" t="s">
        <v>2949</v>
      </c>
      <c r="H225" t="s">
        <v>2950</v>
      </c>
      <c r="I225" t="s">
        <v>128</v>
      </c>
      <c r="J225" s="2" t="s">
        <v>2951</v>
      </c>
      <c r="K225" t="s">
        <v>2952</v>
      </c>
      <c r="L225" t="s">
        <v>60</v>
      </c>
      <c r="M225" t="s">
        <v>2939</v>
      </c>
      <c r="N225" t="s">
        <v>62</v>
      </c>
      <c r="O225" t="str">
        <f>"08302"</f>
        <v>08302</v>
      </c>
      <c r="P225" t="s">
        <v>2953</v>
      </c>
      <c r="S225" t="s">
        <v>2954</v>
      </c>
      <c r="T225" t="s">
        <v>62</v>
      </c>
      <c r="U225" t="str">
        <f>"08332"</f>
        <v>08332</v>
      </c>
      <c r="W225" t="s">
        <v>2955</v>
      </c>
      <c r="X225" t="s">
        <v>54</v>
      </c>
      <c r="Y225" t="s">
        <v>1142</v>
      </c>
      <c r="Z225" t="s">
        <v>1339</v>
      </c>
      <c r="AA225" t="s">
        <v>112</v>
      </c>
      <c r="AB225" t="s">
        <v>77</v>
      </c>
      <c r="AC225" t="s">
        <v>2956</v>
      </c>
      <c r="AD225" t="s">
        <v>857</v>
      </c>
      <c r="AE225" t="s">
        <v>181</v>
      </c>
      <c r="AF225" t="s">
        <v>54</v>
      </c>
      <c r="AG225" t="s">
        <v>2957</v>
      </c>
      <c r="AH225" t="s">
        <v>2958</v>
      </c>
      <c r="AI225" t="s">
        <v>73</v>
      </c>
      <c r="AJ225" t="s">
        <v>54</v>
      </c>
      <c r="AK225" t="s">
        <v>397</v>
      </c>
      <c r="AL225" t="s">
        <v>2950</v>
      </c>
      <c r="AM225" t="s">
        <v>76</v>
      </c>
      <c r="AN225" t="s">
        <v>77</v>
      </c>
      <c r="AO225" t="s">
        <v>2012</v>
      </c>
      <c r="AP225" t="s">
        <v>731</v>
      </c>
      <c r="AQ225" t="s">
        <v>80</v>
      </c>
      <c r="AR225" t="s">
        <v>77</v>
      </c>
      <c r="AS225" t="s">
        <v>120</v>
      </c>
      <c r="AT225" t="s">
        <v>2959</v>
      </c>
      <c r="AU225" t="s">
        <v>83</v>
      </c>
      <c r="AV225" t="s">
        <v>2960</v>
      </c>
    </row>
    <row r="226" spans="1:49">
      <c r="A226" t="str">
        <f>"11"</f>
        <v>11</v>
      </c>
      <c r="B226" t="s">
        <v>2934</v>
      </c>
      <c r="C226" t="str">
        <f>"0950"</f>
        <v>0950</v>
      </c>
      <c r="D226" t="s">
        <v>2961</v>
      </c>
      <c r="F226" t="s">
        <v>54</v>
      </c>
      <c r="G226" t="s">
        <v>1246</v>
      </c>
      <c r="H226" t="s">
        <v>2962</v>
      </c>
      <c r="I226" t="s">
        <v>89</v>
      </c>
      <c r="J226" s="2" t="s">
        <v>2963</v>
      </c>
      <c r="K226" t="s">
        <v>2964</v>
      </c>
      <c r="L226" t="s">
        <v>60</v>
      </c>
      <c r="M226" t="s">
        <v>2965</v>
      </c>
      <c r="N226" t="s">
        <v>62</v>
      </c>
      <c r="O226" t="str">
        <f>"08349"</f>
        <v>08349</v>
      </c>
      <c r="P226" t="s">
        <v>2964</v>
      </c>
      <c r="S226" t="s">
        <v>2965</v>
      </c>
      <c r="T226" t="s">
        <v>62</v>
      </c>
      <c r="U226" t="str">
        <f>"08349"</f>
        <v>08349</v>
      </c>
      <c r="W226" t="s">
        <v>2966</v>
      </c>
      <c r="X226" t="s">
        <v>77</v>
      </c>
      <c r="Y226" t="s">
        <v>1136</v>
      </c>
      <c r="Z226" t="s">
        <v>857</v>
      </c>
      <c r="AA226" t="s">
        <v>68</v>
      </c>
      <c r="AB226" t="s">
        <v>77</v>
      </c>
      <c r="AC226" t="s">
        <v>328</v>
      </c>
      <c r="AD226" t="s">
        <v>2967</v>
      </c>
      <c r="AE226" t="s">
        <v>98</v>
      </c>
      <c r="AF226" t="s">
        <v>77</v>
      </c>
      <c r="AG226" t="s">
        <v>328</v>
      </c>
      <c r="AH226" t="s">
        <v>2967</v>
      </c>
      <c r="AI226" t="s">
        <v>73</v>
      </c>
      <c r="AJ226" t="s">
        <v>70</v>
      </c>
      <c r="AK226" t="s">
        <v>2968</v>
      </c>
      <c r="AL226" t="s">
        <v>2969</v>
      </c>
      <c r="AM226" t="s">
        <v>76</v>
      </c>
      <c r="AN226" t="s">
        <v>70</v>
      </c>
      <c r="AO226" t="s">
        <v>152</v>
      </c>
      <c r="AP226" t="s">
        <v>2970</v>
      </c>
      <c r="AQ226" t="s">
        <v>80</v>
      </c>
      <c r="AR226" t="s">
        <v>54</v>
      </c>
      <c r="AS226" t="s">
        <v>2971</v>
      </c>
      <c r="AT226" t="s">
        <v>2972</v>
      </c>
      <c r="AU226" t="s">
        <v>83</v>
      </c>
      <c r="AV226" t="s">
        <v>2973</v>
      </c>
      <c r="AW226" t="str">
        <f>"3403480"</f>
        <v>3403480</v>
      </c>
    </row>
    <row r="227" spans="1:49">
      <c r="A227" t="str">
        <f>"80"</f>
        <v>80</v>
      </c>
      <c r="B227" t="s">
        <v>2934</v>
      </c>
      <c r="C227" t="str">
        <f>"6089"</f>
        <v>6089</v>
      </c>
      <c r="D227" t="s">
        <v>2974</v>
      </c>
      <c r="E227" t="str">
        <f>"976"</f>
        <v>976</v>
      </c>
      <c r="F227" t="s">
        <v>54</v>
      </c>
      <c r="G227" t="s">
        <v>541</v>
      </c>
      <c r="H227" t="s">
        <v>2975</v>
      </c>
      <c r="I227" t="s">
        <v>89</v>
      </c>
      <c r="J227" s="2" t="s">
        <v>2976</v>
      </c>
      <c r="K227" t="s">
        <v>2977</v>
      </c>
      <c r="L227" t="s">
        <v>60</v>
      </c>
      <c r="M227" t="s">
        <v>2978</v>
      </c>
      <c r="N227" t="s">
        <v>62</v>
      </c>
      <c r="O227" t="str">
        <f>"08360"</f>
        <v>08360</v>
      </c>
      <c r="P227" t="s">
        <v>2977</v>
      </c>
      <c r="S227" t="s">
        <v>2978</v>
      </c>
      <c r="T227" t="s">
        <v>62</v>
      </c>
      <c r="U227" t="str">
        <f>"08360"</f>
        <v>08360</v>
      </c>
      <c r="W227" t="s">
        <v>2979</v>
      </c>
      <c r="X227" t="s">
        <v>77</v>
      </c>
      <c r="Y227" t="s">
        <v>170</v>
      </c>
      <c r="Z227" t="s">
        <v>1676</v>
      </c>
      <c r="AA227" t="s">
        <v>112</v>
      </c>
      <c r="AB227" t="s">
        <v>54</v>
      </c>
      <c r="AC227" t="s">
        <v>2980</v>
      </c>
      <c r="AD227" t="s">
        <v>2981</v>
      </c>
      <c r="AE227" t="s">
        <v>181</v>
      </c>
      <c r="AF227" t="s">
        <v>54</v>
      </c>
      <c r="AG227" t="s">
        <v>2980</v>
      </c>
      <c r="AH227" t="s">
        <v>2981</v>
      </c>
      <c r="AI227" t="s">
        <v>73</v>
      </c>
      <c r="AJ227" t="s">
        <v>77</v>
      </c>
      <c r="AK227" t="s">
        <v>1512</v>
      </c>
      <c r="AL227" t="s">
        <v>2982</v>
      </c>
      <c r="AM227" t="s">
        <v>76</v>
      </c>
      <c r="AN227" t="s">
        <v>77</v>
      </c>
      <c r="AO227" t="s">
        <v>1512</v>
      </c>
      <c r="AP227" t="s">
        <v>2982</v>
      </c>
      <c r="AQ227" t="s">
        <v>80</v>
      </c>
      <c r="AR227" t="s">
        <v>70</v>
      </c>
      <c r="AS227" t="s">
        <v>541</v>
      </c>
      <c r="AT227" t="s">
        <v>2975</v>
      </c>
      <c r="AU227" t="s">
        <v>83</v>
      </c>
      <c r="AV227" t="s">
        <v>2983</v>
      </c>
    </row>
    <row r="228" spans="1:49">
      <c r="A228" t="str">
        <f t="shared" ref="A228:A236" si="11">"11"</f>
        <v>11</v>
      </c>
      <c r="B228" t="s">
        <v>2934</v>
      </c>
      <c r="C228" t="str">
        <f>"0995"</f>
        <v>0995</v>
      </c>
      <c r="D228" t="s">
        <v>2984</v>
      </c>
      <c r="F228" t="s">
        <v>65</v>
      </c>
      <c r="G228" t="s">
        <v>984</v>
      </c>
      <c r="H228" t="s">
        <v>2985</v>
      </c>
      <c r="I228" t="s">
        <v>89</v>
      </c>
      <c r="J228" s="2" t="s">
        <v>2986</v>
      </c>
      <c r="K228" t="s">
        <v>2987</v>
      </c>
      <c r="L228" t="s">
        <v>60</v>
      </c>
      <c r="M228" t="s">
        <v>2978</v>
      </c>
      <c r="N228" t="s">
        <v>62</v>
      </c>
      <c r="O228" t="s">
        <v>2988</v>
      </c>
      <c r="P228" t="s">
        <v>2987</v>
      </c>
      <c r="S228" t="s">
        <v>2978</v>
      </c>
      <c r="T228" t="s">
        <v>62</v>
      </c>
      <c r="U228" t="str">
        <f>"08360"</f>
        <v>08360</v>
      </c>
      <c r="V228" t="str">
        <f>"0000"</f>
        <v>0000</v>
      </c>
      <c r="W228" t="s">
        <v>2989</v>
      </c>
      <c r="X228" t="s">
        <v>54</v>
      </c>
      <c r="Y228" t="s">
        <v>645</v>
      </c>
      <c r="Z228" t="s">
        <v>2990</v>
      </c>
      <c r="AA228" t="s">
        <v>135</v>
      </c>
      <c r="AB228" t="s">
        <v>77</v>
      </c>
      <c r="AC228" t="s">
        <v>273</v>
      </c>
      <c r="AD228" t="s">
        <v>2991</v>
      </c>
      <c r="AE228" t="s">
        <v>587</v>
      </c>
      <c r="AF228" t="s">
        <v>77</v>
      </c>
      <c r="AG228" t="s">
        <v>2992</v>
      </c>
      <c r="AH228" t="s">
        <v>744</v>
      </c>
      <c r="AI228" t="s">
        <v>73</v>
      </c>
      <c r="AJ228" t="s">
        <v>65</v>
      </c>
      <c r="AK228" t="s">
        <v>2993</v>
      </c>
      <c r="AL228" t="s">
        <v>2994</v>
      </c>
      <c r="AM228" t="s">
        <v>76</v>
      </c>
      <c r="AN228" t="s">
        <v>77</v>
      </c>
      <c r="AO228" t="s">
        <v>1798</v>
      </c>
      <c r="AP228" t="s">
        <v>855</v>
      </c>
      <c r="AQ228" t="s">
        <v>80</v>
      </c>
      <c r="AR228" t="s">
        <v>77</v>
      </c>
      <c r="AS228" t="s">
        <v>2992</v>
      </c>
      <c r="AT228" t="s">
        <v>744</v>
      </c>
      <c r="AU228" t="s">
        <v>83</v>
      </c>
      <c r="AV228" t="s">
        <v>2995</v>
      </c>
      <c r="AW228" t="str">
        <f>"3403610"</f>
        <v>3403610</v>
      </c>
    </row>
    <row r="229" spans="1:49">
      <c r="A229" t="str">
        <f t="shared" si="11"/>
        <v>11</v>
      </c>
      <c r="B229" t="s">
        <v>2934</v>
      </c>
      <c r="C229" t="str">
        <f>"0997"</f>
        <v>0997</v>
      </c>
      <c r="D229" t="s">
        <v>2996</v>
      </c>
      <c r="G229" t="s">
        <v>136</v>
      </c>
      <c r="H229" t="s">
        <v>2769</v>
      </c>
      <c r="I229" t="s">
        <v>89</v>
      </c>
      <c r="J229" s="2" t="s">
        <v>2997</v>
      </c>
      <c r="K229" t="s">
        <v>2998</v>
      </c>
      <c r="L229" t="s">
        <v>60</v>
      </c>
      <c r="M229" t="s">
        <v>2939</v>
      </c>
      <c r="N229" t="s">
        <v>62</v>
      </c>
      <c r="O229" t="str">
        <f>"08302"</f>
        <v>08302</v>
      </c>
      <c r="P229" t="s">
        <v>2998</v>
      </c>
      <c r="S229" t="s">
        <v>2939</v>
      </c>
      <c r="T229" t="s">
        <v>62</v>
      </c>
      <c r="U229" t="str">
        <f>"08302"</f>
        <v>08302</v>
      </c>
      <c r="W229">
        <v>8564519400</v>
      </c>
      <c r="Y229" t="s">
        <v>2694</v>
      </c>
      <c r="Z229" t="s">
        <v>2999</v>
      </c>
      <c r="AA229" t="s">
        <v>68</v>
      </c>
      <c r="AC229" t="s">
        <v>2012</v>
      </c>
      <c r="AD229" t="s">
        <v>3000</v>
      </c>
      <c r="AE229" t="s">
        <v>415</v>
      </c>
      <c r="AG229" t="s">
        <v>1534</v>
      </c>
      <c r="AH229" t="s">
        <v>1445</v>
      </c>
      <c r="AI229" t="s">
        <v>73</v>
      </c>
      <c r="AK229" t="s">
        <v>449</v>
      </c>
      <c r="AL229" t="s">
        <v>3001</v>
      </c>
      <c r="AM229" t="s">
        <v>76</v>
      </c>
      <c r="AS229" t="s">
        <v>1534</v>
      </c>
      <c r="AT229" t="s">
        <v>1445</v>
      </c>
      <c r="AU229" t="s">
        <v>83</v>
      </c>
      <c r="AV229" t="s">
        <v>3002</v>
      </c>
      <c r="AW229" t="str">
        <f>"3403620"</f>
        <v>3403620</v>
      </c>
    </row>
    <row r="230" spans="1:49">
      <c r="A230" t="str">
        <f t="shared" si="11"/>
        <v>11</v>
      </c>
      <c r="B230" t="s">
        <v>2934</v>
      </c>
      <c r="C230" t="str">
        <f>"1020"</f>
        <v>1020</v>
      </c>
      <c r="D230" t="s">
        <v>3003</v>
      </c>
      <c r="F230" t="s">
        <v>70</v>
      </c>
      <c r="G230" t="s">
        <v>984</v>
      </c>
      <c r="H230" t="s">
        <v>2985</v>
      </c>
      <c r="I230" t="s">
        <v>89</v>
      </c>
      <c r="J230" s="2" t="s">
        <v>3004</v>
      </c>
      <c r="K230" t="s">
        <v>3005</v>
      </c>
      <c r="L230" t="s">
        <v>60</v>
      </c>
      <c r="M230" t="s">
        <v>3006</v>
      </c>
      <c r="N230" t="s">
        <v>62</v>
      </c>
      <c r="O230" t="str">
        <f>"08352"</f>
        <v>08352</v>
      </c>
      <c r="P230" t="s">
        <v>3007</v>
      </c>
      <c r="S230" t="s">
        <v>3006</v>
      </c>
      <c r="T230" t="s">
        <v>62</v>
      </c>
      <c r="U230" t="str">
        <f>"08352"</f>
        <v>08352</v>
      </c>
      <c r="W230" t="s">
        <v>3008</v>
      </c>
      <c r="X230" t="s">
        <v>70</v>
      </c>
      <c r="Y230" t="s">
        <v>3009</v>
      </c>
      <c r="Z230" t="s">
        <v>2277</v>
      </c>
      <c r="AA230" t="s">
        <v>135</v>
      </c>
      <c r="AB230" t="s">
        <v>70</v>
      </c>
      <c r="AC230" t="s">
        <v>3010</v>
      </c>
      <c r="AD230" t="s">
        <v>3011</v>
      </c>
      <c r="AE230" t="s">
        <v>69</v>
      </c>
      <c r="AF230" t="s">
        <v>77</v>
      </c>
      <c r="AG230" t="s">
        <v>328</v>
      </c>
      <c r="AH230" t="s">
        <v>3012</v>
      </c>
      <c r="AI230" t="s">
        <v>73</v>
      </c>
      <c r="AJ230" t="s">
        <v>70</v>
      </c>
      <c r="AK230" t="s">
        <v>984</v>
      </c>
      <c r="AL230" t="s">
        <v>2985</v>
      </c>
      <c r="AM230" t="s">
        <v>76</v>
      </c>
      <c r="AN230" t="s">
        <v>70</v>
      </c>
      <c r="AO230" t="s">
        <v>3009</v>
      </c>
      <c r="AP230" t="s">
        <v>2277</v>
      </c>
      <c r="AQ230" t="s">
        <v>80</v>
      </c>
      <c r="AR230" t="s">
        <v>70</v>
      </c>
      <c r="AS230" t="s">
        <v>3009</v>
      </c>
      <c r="AT230" t="s">
        <v>2277</v>
      </c>
      <c r="AU230" t="s">
        <v>83</v>
      </c>
      <c r="AV230" t="s">
        <v>3013</v>
      </c>
      <c r="AW230" t="str">
        <f>"3403660"</f>
        <v>3403660</v>
      </c>
    </row>
    <row r="231" spans="1:49">
      <c r="A231" t="str">
        <f t="shared" si="11"/>
        <v>11</v>
      </c>
      <c r="B231" t="s">
        <v>2934</v>
      </c>
      <c r="C231" t="str">
        <f>"1120"</f>
        <v>1120</v>
      </c>
      <c r="D231" t="s">
        <v>3014</v>
      </c>
      <c r="F231" t="s">
        <v>54</v>
      </c>
      <c r="G231" t="s">
        <v>728</v>
      </c>
      <c r="H231" t="s">
        <v>1622</v>
      </c>
      <c r="I231" t="s">
        <v>89</v>
      </c>
      <c r="J231" s="2" t="s">
        <v>3015</v>
      </c>
      <c r="K231" t="s">
        <v>3016</v>
      </c>
      <c r="L231" t="s">
        <v>60</v>
      </c>
      <c r="M231" t="s">
        <v>3017</v>
      </c>
      <c r="N231" t="s">
        <v>62</v>
      </c>
      <c r="O231" t="str">
        <f>"08345"</f>
        <v>08345</v>
      </c>
      <c r="P231" t="s">
        <v>3016</v>
      </c>
      <c r="S231" t="s">
        <v>3017</v>
      </c>
      <c r="T231" t="s">
        <v>62</v>
      </c>
      <c r="U231" t="str">
        <f>"08345"</f>
        <v>08345</v>
      </c>
      <c r="W231" t="s">
        <v>3018</v>
      </c>
      <c r="X231" t="s">
        <v>54</v>
      </c>
      <c r="Y231" t="s">
        <v>150</v>
      </c>
      <c r="Z231" t="s">
        <v>3019</v>
      </c>
      <c r="AA231" t="s">
        <v>135</v>
      </c>
      <c r="AB231" t="s">
        <v>70</v>
      </c>
      <c r="AC231" t="s">
        <v>3020</v>
      </c>
      <c r="AD231" t="s">
        <v>3021</v>
      </c>
      <c r="AE231" t="s">
        <v>181</v>
      </c>
      <c r="AF231" t="s">
        <v>54</v>
      </c>
      <c r="AG231" t="s">
        <v>728</v>
      </c>
      <c r="AH231" t="s">
        <v>1622</v>
      </c>
      <c r="AI231" t="s">
        <v>73</v>
      </c>
      <c r="AJ231" t="s">
        <v>54</v>
      </c>
      <c r="AK231" t="s">
        <v>728</v>
      </c>
      <c r="AL231" t="s">
        <v>1622</v>
      </c>
      <c r="AM231" t="s">
        <v>76</v>
      </c>
      <c r="AN231" t="s">
        <v>54</v>
      </c>
      <c r="AO231" t="s">
        <v>728</v>
      </c>
      <c r="AP231" t="s">
        <v>1622</v>
      </c>
      <c r="AQ231" t="s">
        <v>80</v>
      </c>
      <c r="AR231" t="s">
        <v>54</v>
      </c>
      <c r="AS231" t="s">
        <v>150</v>
      </c>
      <c r="AT231" t="s">
        <v>3019</v>
      </c>
      <c r="AU231" t="s">
        <v>83</v>
      </c>
      <c r="AV231" t="s">
        <v>3022</v>
      </c>
      <c r="AW231" t="str">
        <f>"3403960"</f>
        <v>3403960</v>
      </c>
    </row>
    <row r="232" spans="1:49">
      <c r="A232" t="str">
        <f t="shared" si="11"/>
        <v>11</v>
      </c>
      <c r="B232" t="s">
        <v>2934</v>
      </c>
      <c r="C232" t="str">
        <f>"1460"</f>
        <v>1460</v>
      </c>
      <c r="D232" t="s">
        <v>3023</v>
      </c>
      <c r="F232" t="s">
        <v>65</v>
      </c>
      <c r="G232" t="s">
        <v>120</v>
      </c>
      <c r="H232" t="s">
        <v>3024</v>
      </c>
      <c r="I232" t="s">
        <v>89</v>
      </c>
      <c r="J232" s="2" t="s">
        <v>3025</v>
      </c>
      <c r="K232" t="s">
        <v>3026</v>
      </c>
      <c r="L232" t="s">
        <v>60</v>
      </c>
      <c r="M232" t="s">
        <v>2939</v>
      </c>
      <c r="N232" t="s">
        <v>62</v>
      </c>
      <c r="O232" t="str">
        <f>"08302"</f>
        <v>08302</v>
      </c>
      <c r="P232" t="s">
        <v>3026</v>
      </c>
      <c r="S232" t="s">
        <v>2939</v>
      </c>
      <c r="T232" t="s">
        <v>62</v>
      </c>
      <c r="U232" t="str">
        <f>"08302"</f>
        <v>08302</v>
      </c>
      <c r="W232" t="s">
        <v>3027</v>
      </c>
      <c r="X232" t="s">
        <v>77</v>
      </c>
      <c r="Y232" t="s">
        <v>273</v>
      </c>
      <c r="Z232" t="s">
        <v>3028</v>
      </c>
      <c r="AA232" t="s">
        <v>773</v>
      </c>
      <c r="AB232" t="s">
        <v>70</v>
      </c>
      <c r="AC232" t="s">
        <v>1353</v>
      </c>
      <c r="AD232" t="s">
        <v>3029</v>
      </c>
      <c r="AE232" t="s">
        <v>181</v>
      </c>
      <c r="AF232" t="s">
        <v>70</v>
      </c>
      <c r="AG232" t="s">
        <v>851</v>
      </c>
      <c r="AH232" t="s">
        <v>1534</v>
      </c>
      <c r="AI232" t="s">
        <v>73</v>
      </c>
      <c r="AJ232" t="s">
        <v>70</v>
      </c>
      <c r="AK232" t="s">
        <v>680</v>
      </c>
      <c r="AL232" t="s">
        <v>3030</v>
      </c>
      <c r="AM232" t="s">
        <v>76</v>
      </c>
      <c r="AN232" t="s">
        <v>70</v>
      </c>
      <c r="AO232" t="s">
        <v>3031</v>
      </c>
      <c r="AP232" t="s">
        <v>470</v>
      </c>
      <c r="AQ232" t="s">
        <v>80</v>
      </c>
      <c r="AR232" t="s">
        <v>77</v>
      </c>
      <c r="AS232" t="s">
        <v>3032</v>
      </c>
      <c r="AT232" t="s">
        <v>649</v>
      </c>
      <c r="AU232" t="s">
        <v>83</v>
      </c>
      <c r="AV232" t="s">
        <v>3033</v>
      </c>
      <c r="AW232" t="str">
        <f>"3405040"</f>
        <v>3405040</v>
      </c>
    </row>
    <row r="233" spans="1:49">
      <c r="A233" t="str">
        <f t="shared" si="11"/>
        <v>11</v>
      </c>
      <c r="B233" t="s">
        <v>2934</v>
      </c>
      <c r="C233" t="str">
        <f>"1820"</f>
        <v>1820</v>
      </c>
      <c r="D233" t="s">
        <v>3034</v>
      </c>
      <c r="F233" t="s">
        <v>77</v>
      </c>
      <c r="G233" t="s">
        <v>3035</v>
      </c>
      <c r="H233" t="s">
        <v>3036</v>
      </c>
      <c r="I233" t="s">
        <v>89</v>
      </c>
      <c r="J233" s="2" t="s">
        <v>3037</v>
      </c>
      <c r="K233" t="s">
        <v>3038</v>
      </c>
      <c r="L233" t="s">
        <v>60</v>
      </c>
      <c r="M233" t="s">
        <v>3039</v>
      </c>
      <c r="N233" t="s">
        <v>62</v>
      </c>
      <c r="O233" t="str">
        <f>"08323"</f>
        <v>08323</v>
      </c>
      <c r="P233" t="s">
        <v>3038</v>
      </c>
      <c r="S233" t="s">
        <v>3039</v>
      </c>
      <c r="T233" t="s">
        <v>62</v>
      </c>
      <c r="U233" t="str">
        <f>"08323"</f>
        <v>08323</v>
      </c>
      <c r="W233" t="s">
        <v>3040</v>
      </c>
      <c r="X233" t="s">
        <v>54</v>
      </c>
      <c r="Y233" t="s">
        <v>3041</v>
      </c>
      <c r="Z233" t="s">
        <v>3042</v>
      </c>
      <c r="AA233" t="s">
        <v>112</v>
      </c>
      <c r="AB233" t="s">
        <v>77</v>
      </c>
      <c r="AC233" t="s">
        <v>2929</v>
      </c>
      <c r="AD233" t="s">
        <v>2930</v>
      </c>
      <c r="AE233" t="s">
        <v>433</v>
      </c>
      <c r="AF233" t="s">
        <v>54</v>
      </c>
      <c r="AG233" t="s">
        <v>3043</v>
      </c>
      <c r="AH233" t="s">
        <v>1130</v>
      </c>
      <c r="AI233" t="s">
        <v>73</v>
      </c>
      <c r="AJ233" t="s">
        <v>54</v>
      </c>
      <c r="AK233" t="s">
        <v>3043</v>
      </c>
      <c r="AL233" t="s">
        <v>1130</v>
      </c>
      <c r="AM233" t="s">
        <v>76</v>
      </c>
      <c r="AN233" t="s">
        <v>54</v>
      </c>
      <c r="AO233" t="s">
        <v>3043</v>
      </c>
      <c r="AP233" t="s">
        <v>1130</v>
      </c>
      <c r="AQ233" t="s">
        <v>80</v>
      </c>
      <c r="AR233" t="s">
        <v>77</v>
      </c>
      <c r="AS233" t="s">
        <v>3035</v>
      </c>
      <c r="AT233" t="s">
        <v>3036</v>
      </c>
      <c r="AU233" t="s">
        <v>83</v>
      </c>
      <c r="AV233" t="s">
        <v>3044</v>
      </c>
      <c r="AW233" t="str">
        <f>"3406150"</f>
        <v>3406150</v>
      </c>
    </row>
    <row r="234" spans="1:49">
      <c r="A234" t="str">
        <f t="shared" si="11"/>
        <v>11</v>
      </c>
      <c r="B234" t="s">
        <v>2934</v>
      </c>
      <c r="C234" t="str">
        <f>"2270"</f>
        <v>2270</v>
      </c>
      <c r="D234" t="s">
        <v>3045</v>
      </c>
      <c r="F234" t="s">
        <v>54</v>
      </c>
      <c r="G234" t="s">
        <v>3046</v>
      </c>
      <c r="H234" t="s">
        <v>3047</v>
      </c>
      <c r="I234" t="s">
        <v>57</v>
      </c>
      <c r="J234" s="2" t="s">
        <v>3048</v>
      </c>
      <c r="K234" t="s">
        <v>3049</v>
      </c>
      <c r="L234" t="s">
        <v>60</v>
      </c>
      <c r="M234" t="s">
        <v>2939</v>
      </c>
      <c r="N234" t="s">
        <v>62</v>
      </c>
      <c r="O234" t="str">
        <f>"08302"</f>
        <v>08302</v>
      </c>
      <c r="P234" t="s">
        <v>3049</v>
      </c>
      <c r="S234" t="s">
        <v>2939</v>
      </c>
      <c r="T234" t="s">
        <v>62</v>
      </c>
      <c r="U234" t="str">
        <f>"08302"</f>
        <v>08302</v>
      </c>
      <c r="W234" t="s">
        <v>3050</v>
      </c>
      <c r="X234" t="s">
        <v>54</v>
      </c>
      <c r="Y234" t="s">
        <v>1164</v>
      </c>
      <c r="Z234" t="s">
        <v>3051</v>
      </c>
      <c r="AA234" t="s">
        <v>112</v>
      </c>
      <c r="AB234" t="s">
        <v>54</v>
      </c>
      <c r="AC234" t="s">
        <v>3010</v>
      </c>
      <c r="AD234" t="s">
        <v>3011</v>
      </c>
      <c r="AE234" t="s">
        <v>181</v>
      </c>
      <c r="AF234" t="s">
        <v>54</v>
      </c>
      <c r="AG234" t="s">
        <v>3046</v>
      </c>
      <c r="AH234" t="s">
        <v>3052</v>
      </c>
      <c r="AI234" t="s">
        <v>73</v>
      </c>
      <c r="AJ234" t="s">
        <v>77</v>
      </c>
      <c r="AK234" t="s">
        <v>2801</v>
      </c>
      <c r="AL234" t="s">
        <v>3053</v>
      </c>
      <c r="AM234" t="s">
        <v>76</v>
      </c>
      <c r="AN234" t="s">
        <v>77</v>
      </c>
      <c r="AO234" t="s">
        <v>3054</v>
      </c>
      <c r="AP234" t="s">
        <v>3055</v>
      </c>
      <c r="AQ234" t="s">
        <v>80</v>
      </c>
      <c r="AR234" t="s">
        <v>54</v>
      </c>
      <c r="AS234" t="s">
        <v>3046</v>
      </c>
      <c r="AT234" t="s">
        <v>3052</v>
      </c>
      <c r="AU234" t="s">
        <v>83</v>
      </c>
      <c r="AV234" t="s">
        <v>3056</v>
      </c>
      <c r="AW234" t="str">
        <f>"3407500"</f>
        <v>3407500</v>
      </c>
    </row>
    <row r="235" spans="1:49">
      <c r="A235" t="str">
        <f t="shared" si="11"/>
        <v>11</v>
      </c>
      <c r="B235" t="s">
        <v>2934</v>
      </c>
      <c r="C235" t="str">
        <f>"2570"</f>
        <v>2570</v>
      </c>
      <c r="D235" t="s">
        <v>3057</v>
      </c>
      <c r="F235" t="s">
        <v>65</v>
      </c>
      <c r="G235" t="s">
        <v>3058</v>
      </c>
      <c r="H235" t="s">
        <v>3059</v>
      </c>
      <c r="I235" t="s">
        <v>89</v>
      </c>
      <c r="J235" s="2" t="s">
        <v>3060</v>
      </c>
      <c r="K235" t="s">
        <v>3061</v>
      </c>
      <c r="L235" t="s">
        <v>60</v>
      </c>
      <c r="M235" t="s">
        <v>3062</v>
      </c>
      <c r="N235" t="s">
        <v>62</v>
      </c>
      <c r="O235" t="str">
        <f>"08311"</f>
        <v>08311</v>
      </c>
      <c r="P235" t="s">
        <v>3061</v>
      </c>
      <c r="S235" t="s">
        <v>3062</v>
      </c>
      <c r="T235" t="s">
        <v>62</v>
      </c>
      <c r="U235" t="str">
        <f>"08311"</f>
        <v>08311</v>
      </c>
      <c r="W235" t="s">
        <v>3063</v>
      </c>
      <c r="X235" t="s">
        <v>54</v>
      </c>
      <c r="Y235" t="s">
        <v>150</v>
      </c>
      <c r="Z235" t="s">
        <v>3019</v>
      </c>
      <c r="AA235" t="s">
        <v>112</v>
      </c>
      <c r="AB235" t="s">
        <v>70</v>
      </c>
      <c r="AC235" t="s">
        <v>3064</v>
      </c>
      <c r="AD235" t="s">
        <v>3021</v>
      </c>
      <c r="AE235" t="s">
        <v>587</v>
      </c>
      <c r="AF235" t="s">
        <v>54</v>
      </c>
      <c r="AG235" t="s">
        <v>957</v>
      </c>
      <c r="AH235" t="s">
        <v>3065</v>
      </c>
      <c r="AI235" t="s">
        <v>73</v>
      </c>
      <c r="AJ235" t="s">
        <v>54</v>
      </c>
      <c r="AK235" t="s">
        <v>957</v>
      </c>
      <c r="AL235" t="s">
        <v>3065</v>
      </c>
      <c r="AM235" t="s">
        <v>76</v>
      </c>
      <c r="AN235" t="s">
        <v>77</v>
      </c>
      <c r="AO235" t="s">
        <v>1232</v>
      </c>
      <c r="AP235" t="s">
        <v>3066</v>
      </c>
      <c r="AQ235" t="s">
        <v>80</v>
      </c>
      <c r="AR235" t="s">
        <v>54</v>
      </c>
      <c r="AS235" t="s">
        <v>150</v>
      </c>
      <c r="AT235" t="s">
        <v>3019</v>
      </c>
      <c r="AU235" t="s">
        <v>83</v>
      </c>
      <c r="AV235" t="s">
        <v>3067</v>
      </c>
      <c r="AW235" t="str">
        <f>"3408370"</f>
        <v>3408370</v>
      </c>
    </row>
    <row r="236" spans="1:49">
      <c r="A236" t="str">
        <f t="shared" si="11"/>
        <v>11</v>
      </c>
      <c r="B236" t="s">
        <v>2934</v>
      </c>
      <c r="C236" t="str">
        <f>"3050"</f>
        <v>3050</v>
      </c>
      <c r="D236" t="s">
        <v>3068</v>
      </c>
      <c r="F236" t="s">
        <v>77</v>
      </c>
      <c r="G236" t="s">
        <v>3069</v>
      </c>
      <c r="H236" t="s">
        <v>3070</v>
      </c>
      <c r="I236" t="s">
        <v>89</v>
      </c>
      <c r="J236" s="3" t="s">
        <v>8181</v>
      </c>
      <c r="K236" t="s">
        <v>3071</v>
      </c>
      <c r="L236" t="s">
        <v>3072</v>
      </c>
      <c r="M236" t="s">
        <v>3073</v>
      </c>
      <c r="N236" t="s">
        <v>62</v>
      </c>
      <c r="O236" t="str">
        <f>"08348"</f>
        <v>08348</v>
      </c>
      <c r="P236" t="s">
        <v>3074</v>
      </c>
      <c r="S236" t="s">
        <v>3073</v>
      </c>
      <c r="T236" t="s">
        <v>62</v>
      </c>
      <c r="U236" t="str">
        <f>"08348"</f>
        <v>08348</v>
      </c>
      <c r="W236" t="s">
        <v>3075</v>
      </c>
      <c r="X236" t="s">
        <v>54</v>
      </c>
      <c r="Y236" t="s">
        <v>3076</v>
      </c>
      <c r="Z236" t="s">
        <v>3077</v>
      </c>
      <c r="AA236" t="s">
        <v>135</v>
      </c>
      <c r="AB236" t="s">
        <v>70</v>
      </c>
      <c r="AC236" t="s">
        <v>3020</v>
      </c>
      <c r="AD236" t="s">
        <v>3021</v>
      </c>
      <c r="AE236" t="s">
        <v>415</v>
      </c>
      <c r="AF236" t="s">
        <v>77</v>
      </c>
      <c r="AG236" t="s">
        <v>3078</v>
      </c>
      <c r="AH236" t="s">
        <v>3079</v>
      </c>
      <c r="AI236" t="s">
        <v>73</v>
      </c>
      <c r="AJ236" t="s">
        <v>70</v>
      </c>
      <c r="AK236" t="s">
        <v>429</v>
      </c>
      <c r="AL236" t="s">
        <v>3080</v>
      </c>
      <c r="AM236" t="s">
        <v>76</v>
      </c>
      <c r="AN236" t="s">
        <v>77</v>
      </c>
      <c r="AO236" t="s">
        <v>3081</v>
      </c>
      <c r="AP236" t="s">
        <v>3082</v>
      </c>
      <c r="AQ236" t="s">
        <v>80</v>
      </c>
      <c r="AR236" t="s">
        <v>77</v>
      </c>
      <c r="AS236" t="s">
        <v>319</v>
      </c>
      <c r="AT236" t="s">
        <v>3083</v>
      </c>
      <c r="AU236" t="s">
        <v>83</v>
      </c>
      <c r="AV236" t="s">
        <v>3084</v>
      </c>
      <c r="AW236" t="str">
        <f>"3409780"</f>
        <v>3409780</v>
      </c>
    </row>
    <row r="237" spans="1:49">
      <c r="A237" t="str">
        <f>"80"</f>
        <v>80</v>
      </c>
      <c r="B237" t="s">
        <v>2934</v>
      </c>
      <c r="C237" t="str">
        <f>"6069"</f>
        <v>6069</v>
      </c>
      <c r="D237" t="s">
        <v>3085</v>
      </c>
      <c r="E237" t="str">
        <f>"952"</f>
        <v>952</v>
      </c>
      <c r="F237" t="s">
        <v>77</v>
      </c>
      <c r="G237" t="s">
        <v>281</v>
      </c>
      <c r="H237" t="s">
        <v>3086</v>
      </c>
      <c r="I237" t="s">
        <v>128</v>
      </c>
      <c r="J237" s="2" t="s">
        <v>3087</v>
      </c>
      <c r="K237" t="s">
        <v>3088</v>
      </c>
      <c r="L237" t="s">
        <v>3089</v>
      </c>
      <c r="M237" t="s">
        <v>2954</v>
      </c>
      <c r="N237" t="s">
        <v>62</v>
      </c>
      <c r="O237" t="str">
        <f>"08333"</f>
        <v>08333</v>
      </c>
      <c r="P237" t="s">
        <v>3088</v>
      </c>
      <c r="Q237" t="s">
        <v>3090</v>
      </c>
      <c r="S237" t="s">
        <v>2954</v>
      </c>
      <c r="T237" t="s">
        <v>62</v>
      </c>
      <c r="U237" t="str">
        <f>"08333"</f>
        <v>08333</v>
      </c>
      <c r="W237" t="s">
        <v>3091</v>
      </c>
      <c r="X237" t="s">
        <v>70</v>
      </c>
      <c r="Y237" t="s">
        <v>1142</v>
      </c>
      <c r="Z237" t="s">
        <v>1339</v>
      </c>
      <c r="AA237" t="s">
        <v>135</v>
      </c>
      <c r="AB237" t="s">
        <v>54</v>
      </c>
      <c r="AC237" t="s">
        <v>397</v>
      </c>
      <c r="AD237" t="s">
        <v>2950</v>
      </c>
      <c r="AE237" t="s">
        <v>181</v>
      </c>
      <c r="AF237" t="s">
        <v>77</v>
      </c>
      <c r="AG237" t="s">
        <v>319</v>
      </c>
      <c r="AH237" t="s">
        <v>3092</v>
      </c>
      <c r="AI237" t="s">
        <v>73</v>
      </c>
      <c r="AJ237" t="s">
        <v>54</v>
      </c>
      <c r="AK237" t="s">
        <v>397</v>
      </c>
      <c r="AL237" t="s">
        <v>2950</v>
      </c>
      <c r="AM237" t="s">
        <v>76</v>
      </c>
      <c r="AN237" t="s">
        <v>77</v>
      </c>
      <c r="AO237" t="s">
        <v>120</v>
      </c>
      <c r="AP237" t="s">
        <v>3093</v>
      </c>
      <c r="AQ237" t="s">
        <v>80</v>
      </c>
      <c r="AR237" t="s">
        <v>77</v>
      </c>
      <c r="AS237" t="s">
        <v>120</v>
      </c>
      <c r="AT237" t="s">
        <v>2959</v>
      </c>
      <c r="AU237" t="s">
        <v>83</v>
      </c>
      <c r="AV237" t="s">
        <v>3094</v>
      </c>
      <c r="AW237" t="str">
        <f>"3400749"</f>
        <v>3400749</v>
      </c>
    </row>
    <row r="238" spans="1:49">
      <c r="A238" t="str">
        <f>"11"</f>
        <v>11</v>
      </c>
      <c r="B238" t="s">
        <v>2934</v>
      </c>
      <c r="C238" t="str">
        <f>"3230"</f>
        <v>3230</v>
      </c>
      <c r="D238" t="s">
        <v>3095</v>
      </c>
      <c r="F238" t="s">
        <v>77</v>
      </c>
      <c r="G238" t="s">
        <v>2745</v>
      </c>
      <c r="H238" t="s">
        <v>3096</v>
      </c>
      <c r="I238" t="s">
        <v>89</v>
      </c>
      <c r="J238" s="2" t="s">
        <v>3097</v>
      </c>
      <c r="K238" t="s">
        <v>3098</v>
      </c>
      <c r="L238" t="s">
        <v>60</v>
      </c>
      <c r="M238" t="s">
        <v>2954</v>
      </c>
      <c r="N238" t="s">
        <v>62</v>
      </c>
      <c r="O238" t="s">
        <v>3099</v>
      </c>
      <c r="P238" t="s">
        <v>3098</v>
      </c>
      <c r="Q238" t="s">
        <v>3100</v>
      </c>
      <c r="S238" t="s">
        <v>2954</v>
      </c>
      <c r="T238" t="s">
        <v>62</v>
      </c>
      <c r="U238" t="str">
        <f>"08332"</f>
        <v>08332</v>
      </c>
      <c r="V238" t="str">
        <f>"0946"</f>
        <v>0946</v>
      </c>
      <c r="W238" t="s">
        <v>3101</v>
      </c>
      <c r="X238" t="s">
        <v>77</v>
      </c>
      <c r="Y238" t="s">
        <v>223</v>
      </c>
      <c r="Z238" t="s">
        <v>2705</v>
      </c>
      <c r="AA238" t="s">
        <v>68</v>
      </c>
      <c r="AB238" t="s">
        <v>77</v>
      </c>
      <c r="AC238" t="s">
        <v>78</v>
      </c>
      <c r="AD238" t="s">
        <v>3102</v>
      </c>
      <c r="AE238" t="s">
        <v>98</v>
      </c>
      <c r="AF238" t="s">
        <v>77</v>
      </c>
      <c r="AG238" t="s">
        <v>190</v>
      </c>
      <c r="AH238" t="s">
        <v>3103</v>
      </c>
      <c r="AI238" t="s">
        <v>73</v>
      </c>
      <c r="AJ238" t="s">
        <v>54</v>
      </c>
      <c r="AK238" t="s">
        <v>233</v>
      </c>
      <c r="AL238" t="s">
        <v>3104</v>
      </c>
      <c r="AM238" t="s">
        <v>76</v>
      </c>
      <c r="AN238" t="s">
        <v>77</v>
      </c>
      <c r="AO238" t="s">
        <v>87</v>
      </c>
      <c r="AP238" t="s">
        <v>1311</v>
      </c>
      <c r="AQ238" t="s">
        <v>80</v>
      </c>
      <c r="AR238" t="s">
        <v>54</v>
      </c>
      <c r="AS238" t="s">
        <v>1346</v>
      </c>
      <c r="AT238" t="s">
        <v>3105</v>
      </c>
      <c r="AU238" t="s">
        <v>83</v>
      </c>
      <c r="AV238" t="s">
        <v>3106</v>
      </c>
      <c r="AW238" t="str">
        <f>"3410320"</f>
        <v>3410320</v>
      </c>
    </row>
    <row r="239" spans="1:49">
      <c r="A239" t="str">
        <f>"11"</f>
        <v>11</v>
      </c>
      <c r="B239" t="s">
        <v>2934</v>
      </c>
      <c r="C239" t="str">
        <f>"5070"</f>
        <v>5070</v>
      </c>
      <c r="D239" t="s">
        <v>3107</v>
      </c>
      <c r="F239" t="s">
        <v>77</v>
      </c>
      <c r="G239" t="s">
        <v>3035</v>
      </c>
      <c r="H239" t="s">
        <v>3036</v>
      </c>
      <c r="I239" t="s">
        <v>89</v>
      </c>
      <c r="J239" s="2" t="s">
        <v>3108</v>
      </c>
      <c r="K239" t="s">
        <v>3109</v>
      </c>
      <c r="L239" t="s">
        <v>60</v>
      </c>
      <c r="M239" t="s">
        <v>3110</v>
      </c>
      <c r="N239" t="s">
        <v>62</v>
      </c>
      <c r="O239" t="str">
        <f>"08302"</f>
        <v>08302</v>
      </c>
      <c r="P239" t="s">
        <v>3109</v>
      </c>
      <c r="S239" t="s">
        <v>3110</v>
      </c>
      <c r="T239" t="s">
        <v>62</v>
      </c>
      <c r="U239" t="str">
        <f>"08302"</f>
        <v>08302</v>
      </c>
      <c r="W239" t="s">
        <v>3040</v>
      </c>
      <c r="X239" t="s">
        <v>54</v>
      </c>
      <c r="Y239" t="s">
        <v>3041</v>
      </c>
      <c r="Z239" t="s">
        <v>3042</v>
      </c>
      <c r="AA239" t="s">
        <v>112</v>
      </c>
      <c r="AB239" t="s">
        <v>77</v>
      </c>
      <c r="AC239" t="s">
        <v>2929</v>
      </c>
      <c r="AD239" t="s">
        <v>2930</v>
      </c>
      <c r="AE239" t="s">
        <v>433</v>
      </c>
      <c r="AF239" t="s">
        <v>54</v>
      </c>
      <c r="AG239" t="s">
        <v>3043</v>
      </c>
      <c r="AH239" t="s">
        <v>1130</v>
      </c>
      <c r="AI239" t="s">
        <v>73</v>
      </c>
      <c r="AJ239" t="s">
        <v>54</v>
      </c>
      <c r="AK239" t="s">
        <v>3043</v>
      </c>
      <c r="AL239" t="s">
        <v>1130</v>
      </c>
      <c r="AM239" t="s">
        <v>76</v>
      </c>
      <c r="AN239" t="s">
        <v>54</v>
      </c>
      <c r="AO239" t="s">
        <v>3043</v>
      </c>
      <c r="AP239" t="s">
        <v>1130</v>
      </c>
      <c r="AQ239" t="s">
        <v>80</v>
      </c>
      <c r="AR239" t="s">
        <v>54</v>
      </c>
      <c r="AS239" t="s">
        <v>3035</v>
      </c>
      <c r="AT239" t="s">
        <v>3036</v>
      </c>
      <c r="AU239" t="s">
        <v>83</v>
      </c>
      <c r="AV239" t="s">
        <v>3111</v>
      </c>
      <c r="AW239" t="str">
        <f>"3415840"</f>
        <v>3415840</v>
      </c>
    </row>
    <row r="240" spans="1:49">
      <c r="A240" t="str">
        <f>"11"</f>
        <v>11</v>
      </c>
      <c r="B240" t="s">
        <v>2934</v>
      </c>
      <c r="C240" t="str">
        <f>"5300"</f>
        <v>5300</v>
      </c>
      <c r="D240" t="s">
        <v>3112</v>
      </c>
      <c r="F240" t="s">
        <v>65</v>
      </c>
      <c r="G240" t="s">
        <v>994</v>
      </c>
      <c r="H240" t="s">
        <v>3113</v>
      </c>
      <c r="I240" t="s">
        <v>89</v>
      </c>
      <c r="J240" s="2" t="s">
        <v>3114</v>
      </c>
      <c r="K240" t="s">
        <v>3115</v>
      </c>
      <c r="L240" t="s">
        <v>60</v>
      </c>
      <c r="M240" t="s">
        <v>3116</v>
      </c>
      <c r="N240" t="s">
        <v>62</v>
      </c>
      <c r="O240" t="s">
        <v>3117</v>
      </c>
      <c r="P240" t="s">
        <v>3115</v>
      </c>
      <c r="S240" t="s">
        <v>3116</v>
      </c>
      <c r="T240" t="s">
        <v>62</v>
      </c>
      <c r="U240" t="str">
        <f>"08302"</f>
        <v>08302</v>
      </c>
      <c r="V240" t="str">
        <f>"4261"</f>
        <v>4261</v>
      </c>
      <c r="W240" t="s">
        <v>3118</v>
      </c>
      <c r="X240" t="s">
        <v>54</v>
      </c>
      <c r="Y240" t="s">
        <v>3041</v>
      </c>
      <c r="Z240" t="s">
        <v>3042</v>
      </c>
      <c r="AA240" t="s">
        <v>135</v>
      </c>
      <c r="AB240" t="s">
        <v>77</v>
      </c>
      <c r="AC240" t="s">
        <v>3119</v>
      </c>
      <c r="AD240" t="s">
        <v>2376</v>
      </c>
      <c r="AE240" t="s">
        <v>98</v>
      </c>
      <c r="AF240" t="s">
        <v>54</v>
      </c>
      <c r="AG240" t="s">
        <v>3120</v>
      </c>
      <c r="AH240" t="s">
        <v>3121</v>
      </c>
      <c r="AI240" t="s">
        <v>73</v>
      </c>
      <c r="AJ240" t="s">
        <v>65</v>
      </c>
      <c r="AK240" t="s">
        <v>994</v>
      </c>
      <c r="AL240" t="s">
        <v>3113</v>
      </c>
      <c r="AM240" t="s">
        <v>76</v>
      </c>
      <c r="AN240" t="s">
        <v>77</v>
      </c>
      <c r="AO240" t="s">
        <v>2919</v>
      </c>
      <c r="AP240" t="s">
        <v>3122</v>
      </c>
      <c r="AQ240" t="s">
        <v>80</v>
      </c>
      <c r="AR240" t="s">
        <v>65</v>
      </c>
      <c r="AS240" t="s">
        <v>994</v>
      </c>
      <c r="AT240" t="s">
        <v>3113</v>
      </c>
      <c r="AU240" t="s">
        <v>83</v>
      </c>
      <c r="AV240" t="s">
        <v>3123</v>
      </c>
      <c r="AW240" t="str">
        <f>"3416530"</f>
        <v>3416530</v>
      </c>
    </row>
    <row r="241" spans="1:49">
      <c r="A241" t="str">
        <f>"80"</f>
        <v>80</v>
      </c>
      <c r="B241" t="s">
        <v>2934</v>
      </c>
      <c r="C241" t="str">
        <f>"6028"</f>
        <v>6028</v>
      </c>
      <c r="D241" t="s">
        <v>3124</v>
      </c>
      <c r="E241" t="str">
        <f>"910"</f>
        <v>910</v>
      </c>
      <c r="F241" t="s">
        <v>54</v>
      </c>
      <c r="G241" t="s">
        <v>397</v>
      </c>
      <c r="H241" t="s">
        <v>2950</v>
      </c>
      <c r="I241" t="s">
        <v>128</v>
      </c>
      <c r="J241" s="2" t="s">
        <v>3125</v>
      </c>
      <c r="K241" t="s">
        <v>3126</v>
      </c>
      <c r="L241" t="s">
        <v>60</v>
      </c>
      <c r="M241" t="s">
        <v>2978</v>
      </c>
      <c r="N241" t="s">
        <v>62</v>
      </c>
      <c r="O241" t="str">
        <f>"08332"</f>
        <v>08332</v>
      </c>
      <c r="P241" t="s">
        <v>3088</v>
      </c>
      <c r="Q241" t="s">
        <v>3090</v>
      </c>
      <c r="S241" t="s">
        <v>2954</v>
      </c>
      <c r="T241" t="s">
        <v>62</v>
      </c>
      <c r="U241" t="str">
        <f>"08332"</f>
        <v>08332</v>
      </c>
      <c r="W241" t="s">
        <v>3127</v>
      </c>
      <c r="X241" t="s">
        <v>70</v>
      </c>
      <c r="Y241" t="s">
        <v>1142</v>
      </c>
      <c r="Z241" t="s">
        <v>1339</v>
      </c>
      <c r="AA241" t="s">
        <v>135</v>
      </c>
      <c r="AB241" t="s">
        <v>77</v>
      </c>
      <c r="AC241" t="s">
        <v>2956</v>
      </c>
      <c r="AD241" t="s">
        <v>857</v>
      </c>
      <c r="AE241" t="s">
        <v>181</v>
      </c>
      <c r="AF241" t="s">
        <v>77</v>
      </c>
      <c r="AG241" t="s">
        <v>206</v>
      </c>
      <c r="AH241" t="s">
        <v>3128</v>
      </c>
      <c r="AI241" t="s">
        <v>73</v>
      </c>
      <c r="AJ241" t="s">
        <v>54</v>
      </c>
      <c r="AK241" t="s">
        <v>397</v>
      </c>
      <c r="AL241" t="s">
        <v>2950</v>
      </c>
      <c r="AM241" t="s">
        <v>76</v>
      </c>
      <c r="AN241" t="s">
        <v>77</v>
      </c>
      <c r="AO241" t="s">
        <v>2230</v>
      </c>
      <c r="AP241" t="s">
        <v>3129</v>
      </c>
      <c r="AQ241" t="s">
        <v>80</v>
      </c>
      <c r="AV241" t="s">
        <v>3130</v>
      </c>
      <c r="AW241" t="str">
        <f>"3400729"</f>
        <v>3400729</v>
      </c>
    </row>
    <row r="242" spans="1:49">
      <c r="A242" t="str">
        <f>"11"</f>
        <v>11</v>
      </c>
      <c r="B242" t="s">
        <v>2934</v>
      </c>
      <c r="C242" t="str">
        <f>"5390"</f>
        <v>5390</v>
      </c>
      <c r="D242" t="s">
        <v>3131</v>
      </c>
      <c r="F242" t="s">
        <v>65</v>
      </c>
      <c r="G242" t="s">
        <v>838</v>
      </c>
      <c r="H242" t="s">
        <v>252</v>
      </c>
      <c r="I242" t="s">
        <v>57</v>
      </c>
      <c r="J242" s="2" t="s">
        <v>3132</v>
      </c>
      <c r="K242" t="s">
        <v>3133</v>
      </c>
      <c r="L242" t="s">
        <v>60</v>
      </c>
      <c r="M242" t="s">
        <v>2978</v>
      </c>
      <c r="N242" t="s">
        <v>62</v>
      </c>
      <c r="O242" t="s">
        <v>3134</v>
      </c>
      <c r="P242" t="s">
        <v>3133</v>
      </c>
      <c r="S242" t="s">
        <v>2978</v>
      </c>
      <c r="T242" t="s">
        <v>62</v>
      </c>
      <c r="U242" t="str">
        <f>"08360"</f>
        <v>08360</v>
      </c>
      <c r="V242" t="str">
        <f>"8122"</f>
        <v>8122</v>
      </c>
      <c r="W242" t="s">
        <v>3135</v>
      </c>
      <c r="X242" t="s">
        <v>77</v>
      </c>
      <c r="Y242" t="s">
        <v>3136</v>
      </c>
      <c r="Z242" t="s">
        <v>3137</v>
      </c>
      <c r="AA242" t="s">
        <v>112</v>
      </c>
      <c r="AB242" t="s">
        <v>54</v>
      </c>
      <c r="AC242" t="s">
        <v>1085</v>
      </c>
      <c r="AD242" t="s">
        <v>3138</v>
      </c>
      <c r="AE242" t="s">
        <v>98</v>
      </c>
      <c r="AF242" t="s">
        <v>65</v>
      </c>
      <c r="AG242" t="s">
        <v>1250</v>
      </c>
      <c r="AH242" t="s">
        <v>3139</v>
      </c>
      <c r="AI242" t="s">
        <v>73</v>
      </c>
      <c r="AJ242" t="s">
        <v>54</v>
      </c>
      <c r="AK242" t="s">
        <v>3140</v>
      </c>
      <c r="AL242" t="s">
        <v>3141</v>
      </c>
      <c r="AM242" t="s">
        <v>76</v>
      </c>
      <c r="AN242" t="s">
        <v>54</v>
      </c>
      <c r="AO242" t="s">
        <v>3142</v>
      </c>
      <c r="AP242" t="s">
        <v>2550</v>
      </c>
      <c r="AQ242" t="s">
        <v>80</v>
      </c>
      <c r="AR242" t="s">
        <v>77</v>
      </c>
      <c r="AS242" t="s">
        <v>328</v>
      </c>
      <c r="AT242" t="s">
        <v>3143</v>
      </c>
      <c r="AU242" t="s">
        <v>83</v>
      </c>
      <c r="AV242" t="s">
        <v>3144</v>
      </c>
      <c r="AW242" t="str">
        <f>"3416800"</f>
        <v>3416800</v>
      </c>
    </row>
    <row r="243" spans="1:49">
      <c r="A243" t="str">
        <f>"80"</f>
        <v>80</v>
      </c>
      <c r="B243" t="s">
        <v>3145</v>
      </c>
      <c r="C243" t="str">
        <f>"6110"</f>
        <v>6110</v>
      </c>
      <c r="D243" t="s">
        <v>3146</v>
      </c>
      <c r="E243" t="str">
        <f>"902"</f>
        <v>902</v>
      </c>
      <c r="F243" t="s">
        <v>77</v>
      </c>
      <c r="G243" t="s">
        <v>287</v>
      </c>
      <c r="H243" t="s">
        <v>3147</v>
      </c>
      <c r="I243" t="s">
        <v>57</v>
      </c>
      <c r="J243" s="2" t="s">
        <v>3148</v>
      </c>
      <c r="K243" t="s">
        <v>3149</v>
      </c>
      <c r="L243" t="s">
        <v>60</v>
      </c>
      <c r="M243" t="s">
        <v>2499</v>
      </c>
      <c r="N243" t="s">
        <v>62</v>
      </c>
      <c r="O243" t="str">
        <f>"07108"</f>
        <v>07108</v>
      </c>
      <c r="P243" t="s">
        <v>3149</v>
      </c>
      <c r="S243" t="s">
        <v>2499</v>
      </c>
      <c r="T243" t="s">
        <v>62</v>
      </c>
      <c r="U243" t="str">
        <f>"07108"</f>
        <v>07108</v>
      </c>
      <c r="W243">
        <v>8622634631</v>
      </c>
      <c r="X243" t="s">
        <v>70</v>
      </c>
      <c r="Y243" t="s">
        <v>1658</v>
      </c>
      <c r="Z243" t="s">
        <v>3150</v>
      </c>
      <c r="AA243" t="s">
        <v>112</v>
      </c>
      <c r="AB243" t="s">
        <v>70</v>
      </c>
      <c r="AC243" t="s">
        <v>2321</v>
      </c>
      <c r="AD243" t="s">
        <v>3151</v>
      </c>
      <c r="AE243" t="s">
        <v>98</v>
      </c>
      <c r="AF243" t="s">
        <v>70</v>
      </c>
      <c r="AG243" t="s">
        <v>3152</v>
      </c>
      <c r="AH243" t="s">
        <v>2433</v>
      </c>
      <c r="AI243" t="s">
        <v>73</v>
      </c>
      <c r="AJ243" t="s">
        <v>70</v>
      </c>
      <c r="AK243" t="s">
        <v>3153</v>
      </c>
      <c r="AL243" t="s">
        <v>3154</v>
      </c>
      <c r="AM243" t="s">
        <v>76</v>
      </c>
      <c r="AR243" t="s">
        <v>70</v>
      </c>
      <c r="AS243" t="s">
        <v>3155</v>
      </c>
      <c r="AT243" t="s">
        <v>857</v>
      </c>
      <c r="AU243" t="s">
        <v>83</v>
      </c>
      <c r="AV243" t="s">
        <v>3156</v>
      </c>
    </row>
    <row r="244" spans="1:49">
      <c r="A244" t="str">
        <f>"13"</f>
        <v>13</v>
      </c>
      <c r="B244" t="s">
        <v>3145</v>
      </c>
      <c r="C244" t="str">
        <f>"0250"</f>
        <v>0250</v>
      </c>
      <c r="D244" t="s">
        <v>3157</v>
      </c>
      <c r="F244" t="s">
        <v>65</v>
      </c>
      <c r="G244" t="s">
        <v>223</v>
      </c>
      <c r="H244" t="s">
        <v>3158</v>
      </c>
      <c r="I244" t="s">
        <v>89</v>
      </c>
      <c r="J244" s="2" t="s">
        <v>3159</v>
      </c>
      <c r="K244" t="s">
        <v>3160</v>
      </c>
      <c r="L244" t="s">
        <v>60</v>
      </c>
      <c r="M244" t="s">
        <v>3161</v>
      </c>
      <c r="N244" t="s">
        <v>62</v>
      </c>
      <c r="O244" t="str">
        <f>"07109"</f>
        <v>07109</v>
      </c>
      <c r="P244" t="s">
        <v>3160</v>
      </c>
      <c r="S244" t="s">
        <v>3161</v>
      </c>
      <c r="T244" t="s">
        <v>62</v>
      </c>
      <c r="U244" t="str">
        <f>"07109"</f>
        <v>07109</v>
      </c>
      <c r="W244" t="s">
        <v>3162</v>
      </c>
      <c r="X244" t="s">
        <v>77</v>
      </c>
      <c r="Y244" t="s">
        <v>281</v>
      </c>
      <c r="Z244" t="s">
        <v>3163</v>
      </c>
      <c r="AA244" t="s">
        <v>68</v>
      </c>
      <c r="AB244" t="s">
        <v>77</v>
      </c>
      <c r="AC244" t="s">
        <v>120</v>
      </c>
      <c r="AD244" t="s">
        <v>3164</v>
      </c>
      <c r="AE244" t="s">
        <v>913</v>
      </c>
      <c r="AF244" t="s">
        <v>70</v>
      </c>
      <c r="AG244" t="s">
        <v>371</v>
      </c>
      <c r="AH244" t="s">
        <v>3165</v>
      </c>
      <c r="AI244" t="s">
        <v>73</v>
      </c>
      <c r="AJ244" t="s">
        <v>70</v>
      </c>
      <c r="AK244" t="s">
        <v>155</v>
      </c>
      <c r="AL244" t="s">
        <v>3166</v>
      </c>
      <c r="AM244" t="s">
        <v>76</v>
      </c>
      <c r="AN244" t="s">
        <v>77</v>
      </c>
      <c r="AO244" t="s">
        <v>338</v>
      </c>
      <c r="AP244" t="s">
        <v>766</v>
      </c>
      <c r="AQ244" t="s">
        <v>80</v>
      </c>
      <c r="AR244" t="s">
        <v>77</v>
      </c>
      <c r="AS244" t="s">
        <v>281</v>
      </c>
      <c r="AT244" t="s">
        <v>1261</v>
      </c>
      <c r="AU244" t="s">
        <v>83</v>
      </c>
      <c r="AV244" t="s">
        <v>3167</v>
      </c>
      <c r="AW244" t="str">
        <f>"3401350"</f>
        <v>3401350</v>
      </c>
    </row>
    <row r="245" spans="1:49">
      <c r="A245" t="str">
        <f>"13"</f>
        <v>13</v>
      </c>
      <c r="B245" t="s">
        <v>3145</v>
      </c>
      <c r="C245" t="str">
        <f>"0410"</f>
        <v>0410</v>
      </c>
      <c r="D245" t="s">
        <v>3168</v>
      </c>
      <c r="F245" t="s">
        <v>77</v>
      </c>
      <c r="G245" t="s">
        <v>3169</v>
      </c>
      <c r="H245" t="s">
        <v>3170</v>
      </c>
      <c r="I245" t="s">
        <v>89</v>
      </c>
      <c r="J245" s="2" t="s">
        <v>3171</v>
      </c>
      <c r="K245" t="s">
        <v>3172</v>
      </c>
      <c r="L245" t="s">
        <v>60</v>
      </c>
      <c r="M245" t="s">
        <v>3173</v>
      </c>
      <c r="N245" t="s">
        <v>62</v>
      </c>
      <c r="O245" t="str">
        <f>"07003"</f>
        <v>07003</v>
      </c>
      <c r="P245" t="s">
        <v>3172</v>
      </c>
      <c r="S245" t="s">
        <v>3173</v>
      </c>
      <c r="T245" t="s">
        <v>62</v>
      </c>
      <c r="U245" t="str">
        <f>"07003"</f>
        <v>07003</v>
      </c>
      <c r="W245" t="s">
        <v>3174</v>
      </c>
      <c r="X245" t="s">
        <v>70</v>
      </c>
      <c r="Y245" t="s">
        <v>3175</v>
      </c>
      <c r="Z245" t="s">
        <v>3176</v>
      </c>
      <c r="AA245" t="s">
        <v>135</v>
      </c>
      <c r="AB245" t="s">
        <v>70</v>
      </c>
      <c r="AC245" t="s">
        <v>3177</v>
      </c>
      <c r="AD245" t="s">
        <v>2505</v>
      </c>
      <c r="AE245" t="s">
        <v>98</v>
      </c>
      <c r="AF245" t="s">
        <v>77</v>
      </c>
      <c r="AG245" t="s">
        <v>663</v>
      </c>
      <c r="AH245" t="s">
        <v>3178</v>
      </c>
      <c r="AI245" t="s">
        <v>73</v>
      </c>
      <c r="AJ245" t="s">
        <v>70</v>
      </c>
      <c r="AK245" t="s">
        <v>699</v>
      </c>
      <c r="AL245" t="s">
        <v>2400</v>
      </c>
      <c r="AM245" t="s">
        <v>76</v>
      </c>
      <c r="AN245" t="s">
        <v>77</v>
      </c>
      <c r="AO245" t="s">
        <v>319</v>
      </c>
      <c r="AP245" t="s">
        <v>3179</v>
      </c>
      <c r="AQ245" t="s">
        <v>80</v>
      </c>
      <c r="AR245" t="s">
        <v>77</v>
      </c>
      <c r="AS245" t="s">
        <v>273</v>
      </c>
      <c r="AT245" t="s">
        <v>3180</v>
      </c>
      <c r="AU245" t="s">
        <v>83</v>
      </c>
      <c r="AV245" t="s">
        <v>3181</v>
      </c>
      <c r="AW245" t="str">
        <f>"3401830"</f>
        <v>3401830</v>
      </c>
    </row>
    <row r="246" spans="1:49">
      <c r="A246" t="str">
        <f>"80"</f>
        <v>80</v>
      </c>
      <c r="B246" t="s">
        <v>3145</v>
      </c>
      <c r="C246" t="str">
        <f>"6022"</f>
        <v>6022</v>
      </c>
      <c r="D246" t="s">
        <v>3182</v>
      </c>
      <c r="E246" t="str">
        <f>"990"</f>
        <v>990</v>
      </c>
      <c r="F246" t="s">
        <v>65</v>
      </c>
      <c r="G246" t="s">
        <v>3183</v>
      </c>
      <c r="H246" t="s">
        <v>464</v>
      </c>
      <c r="I246" t="s">
        <v>57</v>
      </c>
      <c r="J246" s="2" t="s">
        <v>3184</v>
      </c>
      <c r="K246" t="s">
        <v>3185</v>
      </c>
      <c r="L246" t="s">
        <v>60</v>
      </c>
      <c r="M246" t="s">
        <v>3186</v>
      </c>
      <c r="N246" t="s">
        <v>62</v>
      </c>
      <c r="O246" t="str">
        <f>"07111"</f>
        <v>07111</v>
      </c>
      <c r="P246" t="s">
        <v>3185</v>
      </c>
      <c r="S246" t="s">
        <v>3186</v>
      </c>
      <c r="T246" t="s">
        <v>62</v>
      </c>
      <c r="U246" t="str">
        <f>"07111"</f>
        <v>07111</v>
      </c>
      <c r="W246" t="s">
        <v>3187</v>
      </c>
      <c r="X246" t="s">
        <v>77</v>
      </c>
      <c r="Y246" t="s">
        <v>1811</v>
      </c>
      <c r="Z246" t="s">
        <v>3188</v>
      </c>
      <c r="AA246" t="s">
        <v>135</v>
      </c>
      <c r="AB246" t="s">
        <v>65</v>
      </c>
      <c r="AC246" t="s">
        <v>3183</v>
      </c>
      <c r="AD246" t="s">
        <v>464</v>
      </c>
      <c r="AE246" t="s">
        <v>98</v>
      </c>
      <c r="AF246" t="s">
        <v>54</v>
      </c>
      <c r="AG246" t="s">
        <v>155</v>
      </c>
      <c r="AH246" t="s">
        <v>1040</v>
      </c>
      <c r="AI246" t="s">
        <v>73</v>
      </c>
      <c r="AJ246" t="s">
        <v>77</v>
      </c>
      <c r="AK246" t="s">
        <v>509</v>
      </c>
      <c r="AL246" t="s">
        <v>1551</v>
      </c>
      <c r="AM246" t="s">
        <v>76</v>
      </c>
      <c r="AN246" t="s">
        <v>77</v>
      </c>
      <c r="AO246" t="s">
        <v>509</v>
      </c>
      <c r="AP246" t="s">
        <v>1551</v>
      </c>
      <c r="AQ246" t="s">
        <v>80</v>
      </c>
      <c r="AR246" t="s">
        <v>77</v>
      </c>
      <c r="AS246" t="s">
        <v>509</v>
      </c>
      <c r="AT246" t="s">
        <v>1551</v>
      </c>
      <c r="AU246" t="s">
        <v>83</v>
      </c>
      <c r="AV246" t="s">
        <v>3189</v>
      </c>
      <c r="AW246" t="str">
        <f>"3400724"</f>
        <v>3400724</v>
      </c>
    </row>
    <row r="247" spans="1:49">
      <c r="A247" t="str">
        <f>"13"</f>
        <v>13</v>
      </c>
      <c r="B247" t="s">
        <v>3145</v>
      </c>
      <c r="C247" t="str">
        <f>"0660"</f>
        <v>0660</v>
      </c>
      <c r="D247" t="s">
        <v>3190</v>
      </c>
      <c r="F247" t="s">
        <v>65</v>
      </c>
      <c r="G247" t="s">
        <v>3191</v>
      </c>
      <c r="H247" t="s">
        <v>3192</v>
      </c>
      <c r="I247" t="s">
        <v>89</v>
      </c>
      <c r="J247" s="2" t="s">
        <v>3193</v>
      </c>
      <c r="K247" t="s">
        <v>3194</v>
      </c>
      <c r="L247" t="s">
        <v>3195</v>
      </c>
      <c r="M247" t="s">
        <v>3196</v>
      </c>
      <c r="N247" t="s">
        <v>62</v>
      </c>
      <c r="O247" t="s">
        <v>3197</v>
      </c>
      <c r="P247" t="s">
        <v>3194</v>
      </c>
      <c r="Q247" t="s">
        <v>3198</v>
      </c>
      <c r="S247" t="s">
        <v>3196</v>
      </c>
      <c r="T247" t="s">
        <v>62</v>
      </c>
      <c r="U247" t="str">
        <f>"07006"</f>
        <v>07006</v>
      </c>
      <c r="V247" t="str">
        <f>"7696"</f>
        <v>7696</v>
      </c>
      <c r="W247" t="s">
        <v>3199</v>
      </c>
      <c r="X247" t="s">
        <v>54</v>
      </c>
      <c r="Y247" t="s">
        <v>1209</v>
      </c>
      <c r="Z247" t="s">
        <v>3200</v>
      </c>
      <c r="AA247" t="s">
        <v>616</v>
      </c>
      <c r="AB247" t="s">
        <v>54</v>
      </c>
      <c r="AC247" t="s">
        <v>928</v>
      </c>
      <c r="AD247" t="s">
        <v>3201</v>
      </c>
      <c r="AE247" t="s">
        <v>913</v>
      </c>
      <c r="AF247" t="s">
        <v>77</v>
      </c>
      <c r="AG247" t="s">
        <v>373</v>
      </c>
      <c r="AH247" t="s">
        <v>3202</v>
      </c>
      <c r="AI247" t="s">
        <v>73</v>
      </c>
      <c r="AJ247" t="s">
        <v>54</v>
      </c>
      <c r="AK247" t="s">
        <v>3203</v>
      </c>
      <c r="AL247" t="s">
        <v>3204</v>
      </c>
      <c r="AM247" t="s">
        <v>76</v>
      </c>
      <c r="AN247" t="s">
        <v>77</v>
      </c>
      <c r="AO247" t="s">
        <v>3205</v>
      </c>
      <c r="AP247" t="s">
        <v>3206</v>
      </c>
      <c r="AQ247" t="s">
        <v>80</v>
      </c>
      <c r="AR247" t="s">
        <v>54</v>
      </c>
      <c r="AS247" t="s">
        <v>3203</v>
      </c>
      <c r="AT247" t="s">
        <v>3204</v>
      </c>
      <c r="AU247" t="s">
        <v>83</v>
      </c>
      <c r="AV247" t="s">
        <v>3207</v>
      </c>
      <c r="AW247" t="str">
        <f>"3402580"</f>
        <v>3402580</v>
      </c>
    </row>
    <row r="248" spans="1:49">
      <c r="A248" t="str">
        <f>"13"</f>
        <v>13</v>
      </c>
      <c r="B248" t="s">
        <v>3145</v>
      </c>
      <c r="C248" t="str">
        <f>"0760"</f>
        <v>0760</v>
      </c>
      <c r="D248" t="s">
        <v>3208</v>
      </c>
      <c r="F248" t="s">
        <v>77</v>
      </c>
      <c r="G248" t="s">
        <v>166</v>
      </c>
      <c r="H248" t="s">
        <v>3209</v>
      </c>
      <c r="I248" t="s">
        <v>89</v>
      </c>
      <c r="J248" s="2" t="s">
        <v>3210</v>
      </c>
      <c r="K248" t="s">
        <v>3211</v>
      </c>
      <c r="L248" t="s">
        <v>60</v>
      </c>
      <c r="M248" t="s">
        <v>3212</v>
      </c>
      <c r="N248" t="s">
        <v>62</v>
      </c>
      <c r="O248" t="str">
        <f>"07009"</f>
        <v>07009</v>
      </c>
      <c r="P248" t="s">
        <v>3211</v>
      </c>
      <c r="S248" t="s">
        <v>3212</v>
      </c>
      <c r="T248" t="s">
        <v>62</v>
      </c>
      <c r="U248" t="str">
        <f>"07009"</f>
        <v>07009</v>
      </c>
      <c r="W248" t="s">
        <v>3213</v>
      </c>
      <c r="X248" t="s">
        <v>77</v>
      </c>
      <c r="Y248" t="s">
        <v>120</v>
      </c>
      <c r="Z248" t="s">
        <v>3214</v>
      </c>
      <c r="AA248" t="s">
        <v>112</v>
      </c>
      <c r="AB248" t="s">
        <v>77</v>
      </c>
      <c r="AC248" t="s">
        <v>287</v>
      </c>
      <c r="AD248" t="s">
        <v>3215</v>
      </c>
      <c r="AE248" t="s">
        <v>98</v>
      </c>
      <c r="AF248" t="s">
        <v>77</v>
      </c>
      <c r="AG248" t="s">
        <v>287</v>
      </c>
      <c r="AH248" t="s">
        <v>3215</v>
      </c>
      <c r="AI248" t="s">
        <v>73</v>
      </c>
      <c r="AJ248" t="s">
        <v>54</v>
      </c>
      <c r="AK248" t="s">
        <v>986</v>
      </c>
      <c r="AL248" t="s">
        <v>3216</v>
      </c>
      <c r="AM248" t="s">
        <v>76</v>
      </c>
      <c r="AR248" t="s">
        <v>77</v>
      </c>
      <c r="AS248" t="s">
        <v>287</v>
      </c>
      <c r="AT248" t="s">
        <v>3215</v>
      </c>
      <c r="AU248" t="s">
        <v>83</v>
      </c>
      <c r="AV248" t="s">
        <v>3217</v>
      </c>
      <c r="AW248" t="str">
        <f>"3402850"</f>
        <v>3402850</v>
      </c>
    </row>
    <row r="249" spans="1:49">
      <c r="A249" t="str">
        <f>"80"</f>
        <v>80</v>
      </c>
      <c r="B249" t="s">
        <v>3145</v>
      </c>
      <c r="C249" t="str">
        <f>"6320"</f>
        <v>6320</v>
      </c>
      <c r="D249" t="s">
        <v>3218</v>
      </c>
      <c r="E249" t="str">
        <f>"920"</f>
        <v>920</v>
      </c>
      <c r="F249" t="s">
        <v>77</v>
      </c>
      <c r="G249" t="s">
        <v>3219</v>
      </c>
      <c r="H249" t="s">
        <v>3220</v>
      </c>
      <c r="I249" t="s">
        <v>128</v>
      </c>
      <c r="J249" s="2" t="s">
        <v>3221</v>
      </c>
      <c r="K249" t="s">
        <v>3222</v>
      </c>
      <c r="L249" t="s">
        <v>3223</v>
      </c>
      <c r="M249" t="s">
        <v>2499</v>
      </c>
      <c r="N249" t="s">
        <v>62</v>
      </c>
      <c r="O249" t="str">
        <f>"07102"</f>
        <v>07102</v>
      </c>
      <c r="P249" t="s">
        <v>3222</v>
      </c>
      <c r="Q249" t="s">
        <v>3224</v>
      </c>
      <c r="S249" t="s">
        <v>2499</v>
      </c>
      <c r="T249" t="s">
        <v>62</v>
      </c>
      <c r="U249" t="str">
        <f>"07102"</f>
        <v>07102</v>
      </c>
      <c r="W249" t="s">
        <v>3225</v>
      </c>
      <c r="X249" t="s">
        <v>77</v>
      </c>
      <c r="Y249" t="s">
        <v>1798</v>
      </c>
      <c r="Z249" t="s">
        <v>3226</v>
      </c>
      <c r="AA249" t="s">
        <v>112</v>
      </c>
      <c r="AB249" t="s">
        <v>70</v>
      </c>
      <c r="AC249" t="s">
        <v>3227</v>
      </c>
      <c r="AD249" t="s">
        <v>3228</v>
      </c>
      <c r="AE249" t="s">
        <v>98</v>
      </c>
      <c r="AF249" t="s">
        <v>54</v>
      </c>
      <c r="AG249" t="s">
        <v>118</v>
      </c>
      <c r="AH249" t="s">
        <v>3229</v>
      </c>
      <c r="AI249" t="s">
        <v>73</v>
      </c>
      <c r="AJ249" t="s">
        <v>70</v>
      </c>
      <c r="AK249" t="s">
        <v>849</v>
      </c>
      <c r="AL249" t="s">
        <v>3230</v>
      </c>
      <c r="AM249" t="s">
        <v>76</v>
      </c>
      <c r="AN249" t="s">
        <v>77</v>
      </c>
      <c r="AO249" t="s">
        <v>3219</v>
      </c>
      <c r="AP249" t="s">
        <v>3220</v>
      </c>
      <c r="AQ249" t="s">
        <v>80</v>
      </c>
      <c r="AR249" t="s">
        <v>70</v>
      </c>
      <c r="AS249" t="s">
        <v>2480</v>
      </c>
      <c r="AT249" t="s">
        <v>3231</v>
      </c>
      <c r="AU249" t="s">
        <v>83</v>
      </c>
      <c r="AV249" t="s">
        <v>3232</v>
      </c>
      <c r="AW249" t="str">
        <f>"3400020"</f>
        <v>3400020</v>
      </c>
    </row>
    <row r="250" spans="1:49">
      <c r="A250" t="str">
        <f>"80"</f>
        <v>80</v>
      </c>
      <c r="B250" t="s">
        <v>3145</v>
      </c>
      <c r="C250" t="str">
        <f>"6410"</f>
        <v>6410</v>
      </c>
      <c r="D250" t="s">
        <v>3233</v>
      </c>
      <c r="E250" t="str">
        <f>"920"</f>
        <v>920</v>
      </c>
      <c r="F250" t="s">
        <v>70</v>
      </c>
      <c r="G250" t="s">
        <v>2148</v>
      </c>
      <c r="H250" t="s">
        <v>3234</v>
      </c>
      <c r="I250" t="s">
        <v>128</v>
      </c>
      <c r="J250" s="2" t="s">
        <v>3235</v>
      </c>
      <c r="K250" t="s">
        <v>3236</v>
      </c>
      <c r="L250" t="s">
        <v>60</v>
      </c>
      <c r="M250" t="s">
        <v>3237</v>
      </c>
      <c r="N250" t="s">
        <v>62</v>
      </c>
      <c r="O250" t="str">
        <f>"07017"</f>
        <v>07017</v>
      </c>
      <c r="P250" t="s">
        <v>3236</v>
      </c>
      <c r="S250" t="s">
        <v>3237</v>
      </c>
      <c r="T250" t="s">
        <v>62</v>
      </c>
      <c r="U250" t="str">
        <f>"07017"</f>
        <v>07017</v>
      </c>
      <c r="W250" t="s">
        <v>3238</v>
      </c>
      <c r="X250" t="s">
        <v>77</v>
      </c>
      <c r="Y250" t="s">
        <v>1811</v>
      </c>
      <c r="Z250" t="s">
        <v>3188</v>
      </c>
      <c r="AA250" t="s">
        <v>112</v>
      </c>
      <c r="AB250" t="s">
        <v>70</v>
      </c>
      <c r="AC250" t="s">
        <v>3239</v>
      </c>
      <c r="AD250" t="s">
        <v>3240</v>
      </c>
      <c r="AE250" t="s">
        <v>181</v>
      </c>
      <c r="AF250" t="s">
        <v>77</v>
      </c>
      <c r="AG250" t="s">
        <v>150</v>
      </c>
      <c r="AH250" t="s">
        <v>3241</v>
      </c>
      <c r="AI250" t="s">
        <v>73</v>
      </c>
      <c r="AJ250" t="s">
        <v>70</v>
      </c>
      <c r="AK250" t="s">
        <v>3242</v>
      </c>
      <c r="AL250" t="s">
        <v>3243</v>
      </c>
      <c r="AM250" t="s">
        <v>76</v>
      </c>
      <c r="AN250" t="s">
        <v>77</v>
      </c>
      <c r="AO250" t="s">
        <v>2745</v>
      </c>
      <c r="AP250" t="s">
        <v>1415</v>
      </c>
      <c r="AQ250" t="s">
        <v>80</v>
      </c>
      <c r="AR250" t="s">
        <v>77</v>
      </c>
      <c r="AS250" t="s">
        <v>3244</v>
      </c>
      <c r="AT250" t="s">
        <v>3245</v>
      </c>
      <c r="AU250" t="s">
        <v>83</v>
      </c>
      <c r="AV250" t="s">
        <v>3246</v>
      </c>
      <c r="AW250" t="str">
        <f>"3400021"</f>
        <v>3400021</v>
      </c>
    </row>
    <row r="251" spans="1:49">
      <c r="A251" t="str">
        <f t="shared" ref="A251:A257" si="12">"13"</f>
        <v>13</v>
      </c>
      <c r="B251" t="s">
        <v>3145</v>
      </c>
      <c r="C251" t="str">
        <f>"1210"</f>
        <v>1210</v>
      </c>
      <c r="D251" t="s">
        <v>3247</v>
      </c>
      <c r="F251" t="s">
        <v>77</v>
      </c>
      <c r="G251" t="s">
        <v>3248</v>
      </c>
      <c r="H251" t="s">
        <v>1038</v>
      </c>
      <c r="I251" t="s">
        <v>89</v>
      </c>
      <c r="J251" s="2" t="s">
        <v>3249</v>
      </c>
      <c r="K251" t="s">
        <v>3250</v>
      </c>
      <c r="L251" t="s">
        <v>60</v>
      </c>
      <c r="M251" t="s">
        <v>3237</v>
      </c>
      <c r="N251" t="s">
        <v>62</v>
      </c>
      <c r="O251" t="str">
        <f>"07017"</f>
        <v>07017</v>
      </c>
      <c r="P251" t="s">
        <v>3250</v>
      </c>
      <c r="S251" t="s">
        <v>3237</v>
      </c>
      <c r="T251" t="s">
        <v>62</v>
      </c>
      <c r="U251" t="str">
        <f>"07017"</f>
        <v>07017</v>
      </c>
      <c r="W251" t="s">
        <v>3251</v>
      </c>
      <c r="X251" t="s">
        <v>70</v>
      </c>
      <c r="Y251" t="s">
        <v>926</v>
      </c>
      <c r="Z251" t="s">
        <v>3252</v>
      </c>
      <c r="AA251" t="s">
        <v>135</v>
      </c>
      <c r="AB251" t="s">
        <v>70</v>
      </c>
      <c r="AC251" t="s">
        <v>3253</v>
      </c>
      <c r="AD251" t="s">
        <v>946</v>
      </c>
      <c r="AE251" t="s">
        <v>98</v>
      </c>
      <c r="AF251" t="s">
        <v>77</v>
      </c>
      <c r="AG251" t="s">
        <v>3254</v>
      </c>
      <c r="AH251" t="s">
        <v>1354</v>
      </c>
      <c r="AI251" t="s">
        <v>73</v>
      </c>
      <c r="AJ251" t="s">
        <v>77</v>
      </c>
      <c r="AK251" t="s">
        <v>182</v>
      </c>
      <c r="AL251" t="s">
        <v>3255</v>
      </c>
      <c r="AM251" t="s">
        <v>76</v>
      </c>
      <c r="AN251" t="s">
        <v>77</v>
      </c>
      <c r="AO251" t="s">
        <v>2126</v>
      </c>
      <c r="AP251" t="s">
        <v>1622</v>
      </c>
      <c r="AQ251" t="s">
        <v>80</v>
      </c>
      <c r="AR251" t="s">
        <v>65</v>
      </c>
      <c r="AS251" t="s">
        <v>1209</v>
      </c>
      <c r="AT251" t="s">
        <v>3256</v>
      </c>
      <c r="AU251" t="s">
        <v>83</v>
      </c>
      <c r="AV251" t="s">
        <v>3257</v>
      </c>
      <c r="AW251" t="str">
        <f>"3404230"</f>
        <v>3404230</v>
      </c>
    </row>
    <row r="252" spans="1:49">
      <c r="A252" t="str">
        <f t="shared" si="12"/>
        <v>13</v>
      </c>
      <c r="B252" t="s">
        <v>3145</v>
      </c>
      <c r="C252" t="str">
        <f>"8509"</f>
        <v>8509</v>
      </c>
      <c r="D252" t="s">
        <v>3258</v>
      </c>
      <c r="L252" t="s">
        <v>60</v>
      </c>
      <c r="N252" t="s">
        <v>62</v>
      </c>
    </row>
    <row r="253" spans="1:49">
      <c r="A253" t="str">
        <f t="shared" si="12"/>
        <v>13</v>
      </c>
      <c r="B253" t="s">
        <v>3145</v>
      </c>
      <c r="C253" t="str">
        <f>"1390"</f>
        <v>1390</v>
      </c>
      <c r="D253" t="s">
        <v>3259</v>
      </c>
      <c r="F253" t="s">
        <v>65</v>
      </c>
      <c r="G253" t="s">
        <v>182</v>
      </c>
      <c r="H253" t="s">
        <v>3260</v>
      </c>
      <c r="I253" t="s">
        <v>89</v>
      </c>
      <c r="J253" s="2" t="s">
        <v>3261</v>
      </c>
      <c r="K253" t="s">
        <v>3262</v>
      </c>
      <c r="L253" t="s">
        <v>60</v>
      </c>
      <c r="M253" t="s">
        <v>2499</v>
      </c>
      <c r="N253" t="s">
        <v>62</v>
      </c>
      <c r="O253" t="str">
        <f>"07102"</f>
        <v>07102</v>
      </c>
      <c r="P253" t="s">
        <v>3262</v>
      </c>
      <c r="S253" t="s">
        <v>2499</v>
      </c>
      <c r="T253" t="s">
        <v>62</v>
      </c>
      <c r="U253" t="str">
        <f>"07102"</f>
        <v>07102</v>
      </c>
      <c r="W253" t="s">
        <v>3263</v>
      </c>
      <c r="X253" t="s">
        <v>70</v>
      </c>
      <c r="Y253" t="s">
        <v>3264</v>
      </c>
      <c r="Z253" t="s">
        <v>900</v>
      </c>
      <c r="AA253" t="s">
        <v>68</v>
      </c>
      <c r="AB253" t="s">
        <v>65</v>
      </c>
      <c r="AC253" t="s">
        <v>233</v>
      </c>
      <c r="AD253" t="s">
        <v>3265</v>
      </c>
      <c r="AE253" t="s">
        <v>69</v>
      </c>
      <c r="AF253" t="s">
        <v>77</v>
      </c>
      <c r="AG253" t="s">
        <v>3266</v>
      </c>
      <c r="AH253" t="s">
        <v>510</v>
      </c>
      <c r="AI253" t="s">
        <v>73</v>
      </c>
      <c r="AJ253" t="s">
        <v>77</v>
      </c>
      <c r="AK253" t="s">
        <v>3267</v>
      </c>
      <c r="AL253" t="s">
        <v>3268</v>
      </c>
      <c r="AM253" t="s">
        <v>76</v>
      </c>
      <c r="AN253" t="s">
        <v>77</v>
      </c>
      <c r="AO253" t="s">
        <v>436</v>
      </c>
      <c r="AP253" t="s">
        <v>3269</v>
      </c>
      <c r="AQ253" t="s">
        <v>80</v>
      </c>
      <c r="AR253" t="s">
        <v>77</v>
      </c>
      <c r="AS253" t="s">
        <v>3270</v>
      </c>
      <c r="AT253" t="s">
        <v>3271</v>
      </c>
      <c r="AU253" t="s">
        <v>83</v>
      </c>
      <c r="AV253" t="s">
        <v>3272</v>
      </c>
      <c r="AW253" t="str">
        <f>"3404800"</f>
        <v>3404800</v>
      </c>
    </row>
    <row r="254" spans="1:49">
      <c r="A254" t="str">
        <f t="shared" si="12"/>
        <v>13</v>
      </c>
      <c r="B254" t="s">
        <v>3145</v>
      </c>
      <c r="C254" t="str">
        <f>"1400"</f>
        <v>1400</v>
      </c>
      <c r="D254" t="s">
        <v>3273</v>
      </c>
      <c r="F254" t="s">
        <v>54</v>
      </c>
      <c r="G254" t="s">
        <v>3274</v>
      </c>
      <c r="H254" t="s">
        <v>3275</v>
      </c>
      <c r="I254" t="s">
        <v>57</v>
      </c>
      <c r="J254" s="2" t="s">
        <v>3276</v>
      </c>
      <c r="K254" t="s">
        <v>3277</v>
      </c>
      <c r="L254" t="s">
        <v>60</v>
      </c>
      <c r="M254" t="s">
        <v>3278</v>
      </c>
      <c r="N254" t="s">
        <v>62</v>
      </c>
      <c r="O254" t="str">
        <f>"07021"</f>
        <v>07021</v>
      </c>
      <c r="P254" t="s">
        <v>3277</v>
      </c>
      <c r="S254" t="s">
        <v>3278</v>
      </c>
      <c r="T254" t="s">
        <v>62</v>
      </c>
      <c r="U254" t="str">
        <f>"07021"</f>
        <v>07021</v>
      </c>
      <c r="W254" t="s">
        <v>3279</v>
      </c>
      <c r="X254" t="s">
        <v>77</v>
      </c>
      <c r="Y254" t="s">
        <v>3280</v>
      </c>
      <c r="Z254" t="s">
        <v>3281</v>
      </c>
      <c r="AA254" t="s">
        <v>135</v>
      </c>
      <c r="AB254" t="s">
        <v>54</v>
      </c>
      <c r="AC254" t="s">
        <v>3282</v>
      </c>
      <c r="AD254" t="s">
        <v>3283</v>
      </c>
      <c r="AE254" t="s">
        <v>181</v>
      </c>
      <c r="AF254" t="s">
        <v>54</v>
      </c>
      <c r="AG254" t="s">
        <v>3284</v>
      </c>
      <c r="AH254" t="s">
        <v>3285</v>
      </c>
      <c r="AI254" t="s">
        <v>73</v>
      </c>
      <c r="AJ254" t="s">
        <v>54</v>
      </c>
      <c r="AK254" t="s">
        <v>3274</v>
      </c>
      <c r="AL254" t="s">
        <v>3275</v>
      </c>
      <c r="AM254" t="s">
        <v>76</v>
      </c>
      <c r="AN254" t="s">
        <v>54</v>
      </c>
      <c r="AO254" t="s">
        <v>3286</v>
      </c>
      <c r="AP254" t="s">
        <v>3287</v>
      </c>
      <c r="AQ254" t="s">
        <v>80</v>
      </c>
      <c r="AR254" t="s">
        <v>77</v>
      </c>
      <c r="AS254" t="s">
        <v>534</v>
      </c>
      <c r="AT254" t="s">
        <v>2016</v>
      </c>
      <c r="AU254" t="s">
        <v>83</v>
      </c>
      <c r="AV254" t="s">
        <v>3288</v>
      </c>
      <c r="AW254" t="str">
        <f>"3404830"</f>
        <v>3404830</v>
      </c>
    </row>
    <row r="255" spans="1:49">
      <c r="A255" t="str">
        <f t="shared" si="12"/>
        <v>13</v>
      </c>
      <c r="B255" t="s">
        <v>3145</v>
      </c>
      <c r="C255" t="str">
        <f>"1387"</f>
        <v>1387</v>
      </c>
      <c r="D255" t="s">
        <v>3289</v>
      </c>
      <c r="F255" t="s">
        <v>65</v>
      </c>
      <c r="G255" t="s">
        <v>2874</v>
      </c>
      <c r="H255" t="s">
        <v>3290</v>
      </c>
      <c r="I255" t="s">
        <v>89</v>
      </c>
      <c r="J255" s="2" t="s">
        <v>3291</v>
      </c>
      <c r="K255" t="s">
        <v>3292</v>
      </c>
      <c r="L255" t="s">
        <v>60</v>
      </c>
      <c r="M255" t="s">
        <v>3293</v>
      </c>
      <c r="N255" t="s">
        <v>62</v>
      </c>
      <c r="O255" t="str">
        <f>"07004"</f>
        <v>07004</v>
      </c>
      <c r="P255" t="s">
        <v>3292</v>
      </c>
      <c r="S255" t="s">
        <v>3293</v>
      </c>
      <c r="T255" t="s">
        <v>62</v>
      </c>
      <c r="U255" t="str">
        <f>"07004"</f>
        <v>07004</v>
      </c>
      <c r="W255" t="s">
        <v>3294</v>
      </c>
      <c r="X255" t="s">
        <v>70</v>
      </c>
      <c r="Y255" t="s">
        <v>3295</v>
      </c>
      <c r="Z255" t="s">
        <v>3296</v>
      </c>
      <c r="AA255" t="s">
        <v>773</v>
      </c>
      <c r="AB255" t="s">
        <v>77</v>
      </c>
      <c r="AC255" t="s">
        <v>367</v>
      </c>
      <c r="AD255" t="s">
        <v>3297</v>
      </c>
      <c r="AE255" t="s">
        <v>98</v>
      </c>
      <c r="AF255" t="s">
        <v>77</v>
      </c>
      <c r="AG255" t="s">
        <v>367</v>
      </c>
      <c r="AH255" t="s">
        <v>3297</v>
      </c>
      <c r="AI255" t="s">
        <v>73</v>
      </c>
      <c r="AJ255" t="s">
        <v>77</v>
      </c>
      <c r="AK255" t="s">
        <v>667</v>
      </c>
      <c r="AL255" t="s">
        <v>3298</v>
      </c>
      <c r="AM255" t="s">
        <v>76</v>
      </c>
      <c r="AN255" t="s">
        <v>77</v>
      </c>
      <c r="AO255" t="s">
        <v>182</v>
      </c>
      <c r="AP255" t="s">
        <v>3299</v>
      </c>
      <c r="AQ255" t="s">
        <v>80</v>
      </c>
      <c r="AR255" t="s">
        <v>70</v>
      </c>
      <c r="AS255" t="s">
        <v>3300</v>
      </c>
      <c r="AT255" t="s">
        <v>3301</v>
      </c>
      <c r="AU255" t="s">
        <v>83</v>
      </c>
      <c r="AV255" t="s">
        <v>3302</v>
      </c>
      <c r="AW255" t="str">
        <f>"3480300"</f>
        <v>3480300</v>
      </c>
    </row>
    <row r="256" spans="1:49">
      <c r="A256" t="str">
        <f t="shared" si="12"/>
        <v>13</v>
      </c>
      <c r="B256" t="s">
        <v>3145</v>
      </c>
      <c r="C256" t="str">
        <f>"1465"</f>
        <v>1465</v>
      </c>
      <c r="D256" t="s">
        <v>3303</v>
      </c>
      <c r="F256" t="s">
        <v>70</v>
      </c>
      <c r="G256" t="s">
        <v>541</v>
      </c>
      <c r="H256" t="s">
        <v>3304</v>
      </c>
      <c r="I256" t="s">
        <v>89</v>
      </c>
      <c r="J256" s="2" t="s">
        <v>3305</v>
      </c>
      <c r="K256" t="s">
        <v>3306</v>
      </c>
      <c r="L256" t="s">
        <v>3307</v>
      </c>
      <c r="M256" t="s">
        <v>3308</v>
      </c>
      <c r="N256" t="s">
        <v>62</v>
      </c>
      <c r="O256" t="str">
        <f>"07004"</f>
        <v>07004</v>
      </c>
      <c r="P256" t="s">
        <v>3306</v>
      </c>
      <c r="Q256" t="s">
        <v>3309</v>
      </c>
      <c r="S256" t="s">
        <v>3308</v>
      </c>
      <c r="T256" t="s">
        <v>62</v>
      </c>
      <c r="U256" t="str">
        <f>"07004"</f>
        <v>07004</v>
      </c>
      <c r="W256" t="s">
        <v>3310</v>
      </c>
      <c r="X256" t="s">
        <v>70</v>
      </c>
      <c r="Y256" t="s">
        <v>3311</v>
      </c>
      <c r="Z256" t="s">
        <v>3312</v>
      </c>
      <c r="AA256" t="s">
        <v>112</v>
      </c>
      <c r="AB256" t="s">
        <v>70</v>
      </c>
      <c r="AC256" t="s">
        <v>3046</v>
      </c>
      <c r="AD256" t="s">
        <v>3313</v>
      </c>
      <c r="AE256" t="s">
        <v>98</v>
      </c>
      <c r="AF256" t="s">
        <v>70</v>
      </c>
      <c r="AG256" t="s">
        <v>3046</v>
      </c>
      <c r="AH256" t="s">
        <v>3313</v>
      </c>
      <c r="AI256" t="s">
        <v>73</v>
      </c>
      <c r="AJ256" t="s">
        <v>77</v>
      </c>
      <c r="AK256" t="s">
        <v>182</v>
      </c>
      <c r="AL256" t="s">
        <v>3314</v>
      </c>
      <c r="AM256" t="s">
        <v>76</v>
      </c>
      <c r="AN256" t="s">
        <v>77</v>
      </c>
      <c r="AO256" t="s">
        <v>120</v>
      </c>
      <c r="AP256" t="s">
        <v>3092</v>
      </c>
      <c r="AQ256" t="s">
        <v>80</v>
      </c>
      <c r="AR256" t="s">
        <v>65</v>
      </c>
      <c r="AS256" t="s">
        <v>120</v>
      </c>
      <c r="AT256" t="s">
        <v>3315</v>
      </c>
      <c r="AU256" t="s">
        <v>83</v>
      </c>
      <c r="AV256" t="s">
        <v>3316</v>
      </c>
      <c r="AW256" t="str">
        <f>"3405010"</f>
        <v>3405010</v>
      </c>
    </row>
    <row r="257" spans="1:49">
      <c r="A257" t="str">
        <f t="shared" si="12"/>
        <v>13</v>
      </c>
      <c r="B257" t="s">
        <v>3145</v>
      </c>
      <c r="C257" t="str">
        <f>"1750"</f>
        <v>1750</v>
      </c>
      <c r="D257" t="s">
        <v>3317</v>
      </c>
      <c r="F257" t="s">
        <v>77</v>
      </c>
      <c r="G257" t="s">
        <v>3318</v>
      </c>
      <c r="H257" t="s">
        <v>2351</v>
      </c>
      <c r="I257" t="s">
        <v>89</v>
      </c>
      <c r="J257" s="2" t="s">
        <v>3319</v>
      </c>
      <c r="K257" t="s">
        <v>3320</v>
      </c>
      <c r="L257" t="s">
        <v>60</v>
      </c>
      <c r="M257" t="s">
        <v>3321</v>
      </c>
      <c r="N257" t="s">
        <v>62</v>
      </c>
      <c r="O257" t="str">
        <f>"07028"</f>
        <v>07028</v>
      </c>
      <c r="P257" t="s">
        <v>3320</v>
      </c>
      <c r="S257" t="s">
        <v>3321</v>
      </c>
      <c r="T257" t="s">
        <v>62</v>
      </c>
      <c r="U257" t="str">
        <f>"07028"</f>
        <v>07028</v>
      </c>
      <c r="W257" t="s">
        <v>3322</v>
      </c>
      <c r="X257" t="s">
        <v>77</v>
      </c>
      <c r="Y257" t="s">
        <v>353</v>
      </c>
      <c r="Z257" t="s">
        <v>1339</v>
      </c>
      <c r="AA257" t="s">
        <v>68</v>
      </c>
      <c r="AB257" t="s">
        <v>77</v>
      </c>
      <c r="AC257" t="s">
        <v>1695</v>
      </c>
      <c r="AD257" t="s">
        <v>3323</v>
      </c>
      <c r="AE257" t="s">
        <v>587</v>
      </c>
      <c r="AF257" t="s">
        <v>77</v>
      </c>
      <c r="AG257" t="s">
        <v>1695</v>
      </c>
      <c r="AH257" t="s">
        <v>3323</v>
      </c>
      <c r="AI257" t="s">
        <v>73</v>
      </c>
      <c r="AJ257" t="s">
        <v>77</v>
      </c>
      <c r="AK257" t="s">
        <v>1695</v>
      </c>
      <c r="AL257" t="s">
        <v>3323</v>
      </c>
      <c r="AM257" t="s">
        <v>76</v>
      </c>
      <c r="AN257" t="s">
        <v>70</v>
      </c>
      <c r="AO257" t="s">
        <v>3324</v>
      </c>
      <c r="AP257" t="s">
        <v>3325</v>
      </c>
      <c r="AQ257" t="s">
        <v>80</v>
      </c>
      <c r="AR257" t="s">
        <v>70</v>
      </c>
      <c r="AS257" t="s">
        <v>3324</v>
      </c>
      <c r="AT257" t="s">
        <v>3325</v>
      </c>
      <c r="AU257" t="s">
        <v>83</v>
      </c>
      <c r="AV257" t="s">
        <v>3326</v>
      </c>
      <c r="AW257" t="str">
        <f>"3405940"</f>
        <v>3405940</v>
      </c>
    </row>
    <row r="258" spans="1:49">
      <c r="A258" t="str">
        <f>"80"</f>
        <v>80</v>
      </c>
      <c r="B258" t="s">
        <v>3145</v>
      </c>
      <c r="C258" t="str">
        <f>"6665"</f>
        <v>6665</v>
      </c>
      <c r="D258" t="s">
        <v>3327</v>
      </c>
      <c r="E258" t="str">
        <f>"930"</f>
        <v>930</v>
      </c>
      <c r="F258" t="s">
        <v>70</v>
      </c>
      <c r="G258" t="s">
        <v>3328</v>
      </c>
      <c r="H258" t="s">
        <v>1954</v>
      </c>
      <c r="I258" t="s">
        <v>128</v>
      </c>
      <c r="J258" s="2" t="s">
        <v>3329</v>
      </c>
      <c r="K258" t="s">
        <v>3330</v>
      </c>
      <c r="L258" t="s">
        <v>60</v>
      </c>
      <c r="M258" t="s">
        <v>2499</v>
      </c>
      <c r="N258" t="s">
        <v>62</v>
      </c>
      <c r="O258" t="str">
        <f>"07102"</f>
        <v>07102</v>
      </c>
      <c r="P258" t="s">
        <v>3330</v>
      </c>
      <c r="S258" t="s">
        <v>2499</v>
      </c>
      <c r="T258" t="s">
        <v>62</v>
      </c>
      <c r="U258" t="str">
        <f>"07102"</f>
        <v>07102</v>
      </c>
      <c r="W258" t="s">
        <v>3331</v>
      </c>
      <c r="X258" t="s">
        <v>70</v>
      </c>
      <c r="Y258" t="s">
        <v>429</v>
      </c>
      <c r="Z258" t="s">
        <v>3332</v>
      </c>
      <c r="AA258" t="s">
        <v>112</v>
      </c>
      <c r="AB258" t="s">
        <v>70</v>
      </c>
      <c r="AC258" t="s">
        <v>150</v>
      </c>
      <c r="AD258" t="s">
        <v>464</v>
      </c>
      <c r="AE258" t="s">
        <v>181</v>
      </c>
      <c r="AF258" t="s">
        <v>70</v>
      </c>
      <c r="AG258" t="s">
        <v>150</v>
      </c>
      <c r="AH258" t="s">
        <v>464</v>
      </c>
      <c r="AI258" t="s">
        <v>73</v>
      </c>
      <c r="AJ258" t="s">
        <v>77</v>
      </c>
      <c r="AK258" t="s">
        <v>287</v>
      </c>
      <c r="AL258" t="s">
        <v>3333</v>
      </c>
      <c r="AM258" t="s">
        <v>76</v>
      </c>
      <c r="AR258" t="s">
        <v>77</v>
      </c>
      <c r="AS258" t="s">
        <v>287</v>
      </c>
      <c r="AT258" t="s">
        <v>3333</v>
      </c>
      <c r="AU258" t="s">
        <v>83</v>
      </c>
      <c r="AV258" t="s">
        <v>3334</v>
      </c>
      <c r="AW258" t="str">
        <f>"3400064"</f>
        <v>3400064</v>
      </c>
    </row>
    <row r="259" spans="1:49">
      <c r="A259" t="str">
        <f>"80"</f>
        <v>80</v>
      </c>
      <c r="B259" t="s">
        <v>3145</v>
      </c>
      <c r="C259" t="str">
        <f>"6053"</f>
        <v>6053</v>
      </c>
      <c r="D259" t="s">
        <v>3335</v>
      </c>
      <c r="E259" t="str">
        <f>"917"</f>
        <v>917</v>
      </c>
      <c r="F259" t="s">
        <v>77</v>
      </c>
      <c r="G259" t="s">
        <v>2352</v>
      </c>
      <c r="H259" t="s">
        <v>3336</v>
      </c>
      <c r="I259" t="s">
        <v>128</v>
      </c>
      <c r="J259" s="2" t="s">
        <v>3337</v>
      </c>
      <c r="K259" t="s">
        <v>3338</v>
      </c>
      <c r="L259" t="s">
        <v>60</v>
      </c>
      <c r="M259" t="s">
        <v>2499</v>
      </c>
      <c r="N259" t="s">
        <v>62</v>
      </c>
      <c r="O259" t="str">
        <f>"07102"</f>
        <v>07102</v>
      </c>
      <c r="P259" t="s">
        <v>3338</v>
      </c>
      <c r="S259" t="s">
        <v>2499</v>
      </c>
      <c r="T259" t="s">
        <v>62</v>
      </c>
      <c r="U259" t="str">
        <f>"07102"</f>
        <v>07102</v>
      </c>
      <c r="W259" t="s">
        <v>3339</v>
      </c>
      <c r="X259" t="s">
        <v>77</v>
      </c>
      <c r="Y259" t="s">
        <v>3340</v>
      </c>
      <c r="Z259" t="s">
        <v>219</v>
      </c>
      <c r="AA259" t="s">
        <v>68</v>
      </c>
      <c r="AB259" t="s">
        <v>70</v>
      </c>
      <c r="AC259" t="s">
        <v>371</v>
      </c>
      <c r="AD259" t="s">
        <v>3341</v>
      </c>
      <c r="AE259" t="s">
        <v>181</v>
      </c>
      <c r="AF259" t="s">
        <v>70</v>
      </c>
      <c r="AG259" t="s">
        <v>297</v>
      </c>
      <c r="AH259" t="s">
        <v>3342</v>
      </c>
      <c r="AI259" t="s">
        <v>73</v>
      </c>
      <c r="AJ259" t="s">
        <v>70</v>
      </c>
      <c r="AK259" t="s">
        <v>3343</v>
      </c>
      <c r="AL259" t="s">
        <v>3344</v>
      </c>
      <c r="AM259" t="s">
        <v>76</v>
      </c>
      <c r="AN259" t="s">
        <v>77</v>
      </c>
      <c r="AO259" t="s">
        <v>3345</v>
      </c>
      <c r="AP259" t="s">
        <v>3346</v>
      </c>
      <c r="AQ259" t="s">
        <v>80</v>
      </c>
      <c r="AR259" t="s">
        <v>70</v>
      </c>
      <c r="AS259" t="s">
        <v>3343</v>
      </c>
      <c r="AT259" t="s">
        <v>3344</v>
      </c>
      <c r="AU259" t="s">
        <v>83</v>
      </c>
      <c r="AV259" t="s">
        <v>3347</v>
      </c>
      <c r="AW259" t="str">
        <f>"3400751"</f>
        <v>3400751</v>
      </c>
    </row>
    <row r="260" spans="1:49">
      <c r="A260" t="str">
        <f>"13"</f>
        <v>13</v>
      </c>
      <c r="B260" t="s">
        <v>3145</v>
      </c>
      <c r="C260" t="str">
        <f>"2330"</f>
        <v>2330</v>
      </c>
      <c r="D260" t="s">
        <v>3348</v>
      </c>
      <c r="F260" t="s">
        <v>65</v>
      </c>
      <c r="G260" t="s">
        <v>3349</v>
      </c>
      <c r="H260" t="s">
        <v>3350</v>
      </c>
      <c r="I260" t="s">
        <v>89</v>
      </c>
      <c r="J260" s="2" t="s">
        <v>3351</v>
      </c>
      <c r="K260" t="s">
        <v>3352</v>
      </c>
      <c r="L260" t="s">
        <v>60</v>
      </c>
      <c r="M260" t="s">
        <v>3353</v>
      </c>
      <c r="N260" t="s">
        <v>62</v>
      </c>
      <c r="O260" t="str">
        <f>"07111"</f>
        <v>07111</v>
      </c>
      <c r="P260" t="s">
        <v>3352</v>
      </c>
      <c r="S260" t="s">
        <v>3353</v>
      </c>
      <c r="T260" t="s">
        <v>62</v>
      </c>
      <c r="U260" t="str">
        <f>"07111"</f>
        <v>07111</v>
      </c>
      <c r="W260" t="s">
        <v>3354</v>
      </c>
      <c r="X260" t="s">
        <v>77</v>
      </c>
      <c r="Y260" t="s">
        <v>3355</v>
      </c>
      <c r="Z260" t="s">
        <v>3356</v>
      </c>
      <c r="AA260" t="s">
        <v>135</v>
      </c>
      <c r="AB260" t="s">
        <v>70</v>
      </c>
      <c r="AC260" t="s">
        <v>3357</v>
      </c>
      <c r="AD260" t="s">
        <v>3358</v>
      </c>
      <c r="AE260" t="s">
        <v>69</v>
      </c>
      <c r="AF260" t="s">
        <v>70</v>
      </c>
      <c r="AG260" t="s">
        <v>3359</v>
      </c>
      <c r="AH260" t="s">
        <v>3360</v>
      </c>
      <c r="AI260" t="s">
        <v>73</v>
      </c>
      <c r="AJ260" t="s">
        <v>65</v>
      </c>
      <c r="AK260" t="s">
        <v>3361</v>
      </c>
      <c r="AL260" t="s">
        <v>3362</v>
      </c>
      <c r="AM260" t="s">
        <v>76</v>
      </c>
      <c r="AN260" t="s">
        <v>77</v>
      </c>
      <c r="AO260" t="s">
        <v>328</v>
      </c>
      <c r="AP260" t="s">
        <v>3363</v>
      </c>
      <c r="AQ260" t="s">
        <v>80</v>
      </c>
      <c r="AR260" t="s">
        <v>77</v>
      </c>
      <c r="AS260" t="s">
        <v>3364</v>
      </c>
      <c r="AT260" t="s">
        <v>3365</v>
      </c>
      <c r="AU260" t="s">
        <v>83</v>
      </c>
      <c r="AV260" t="s">
        <v>3366</v>
      </c>
      <c r="AW260" t="str">
        <f>"3407680"</f>
        <v>3407680</v>
      </c>
    </row>
    <row r="261" spans="1:49">
      <c r="A261" t="str">
        <f>"80"</f>
        <v>80</v>
      </c>
      <c r="B261" t="s">
        <v>3145</v>
      </c>
      <c r="C261" t="str">
        <f>"6109"</f>
        <v>6109</v>
      </c>
      <c r="D261" t="s">
        <v>3367</v>
      </c>
      <c r="E261" t="str">
        <f>"953"</f>
        <v>953</v>
      </c>
      <c r="F261" t="s">
        <v>77</v>
      </c>
      <c r="G261" t="s">
        <v>404</v>
      </c>
      <c r="H261" t="s">
        <v>3368</v>
      </c>
      <c r="I261" t="s">
        <v>128</v>
      </c>
      <c r="J261" s="2" t="s">
        <v>3369</v>
      </c>
      <c r="K261" t="s">
        <v>3370</v>
      </c>
      <c r="L261" t="s">
        <v>60</v>
      </c>
      <c r="M261" t="s">
        <v>2499</v>
      </c>
      <c r="N261" t="s">
        <v>62</v>
      </c>
      <c r="O261" t="s">
        <v>3371</v>
      </c>
      <c r="P261" t="s">
        <v>3370</v>
      </c>
      <c r="S261" t="s">
        <v>2499</v>
      </c>
      <c r="T261" t="s">
        <v>62</v>
      </c>
      <c r="U261" t="str">
        <f>"07103"</f>
        <v>07103</v>
      </c>
      <c r="V261" t="str">
        <f>"2402"</f>
        <v>2402</v>
      </c>
      <c r="W261" t="s">
        <v>3372</v>
      </c>
      <c r="X261" t="s">
        <v>65</v>
      </c>
      <c r="Y261" t="s">
        <v>212</v>
      </c>
      <c r="Z261" t="s">
        <v>491</v>
      </c>
      <c r="AA261" t="s">
        <v>112</v>
      </c>
      <c r="AB261" t="s">
        <v>77</v>
      </c>
      <c r="AC261" t="s">
        <v>404</v>
      </c>
      <c r="AD261" t="s">
        <v>3368</v>
      </c>
      <c r="AE261" t="s">
        <v>181</v>
      </c>
      <c r="AF261" t="s">
        <v>77</v>
      </c>
      <c r="AG261" t="s">
        <v>404</v>
      </c>
      <c r="AH261" t="s">
        <v>3368</v>
      </c>
      <c r="AI261" t="s">
        <v>73</v>
      </c>
      <c r="AJ261" t="s">
        <v>65</v>
      </c>
      <c r="AK261" t="s">
        <v>3373</v>
      </c>
      <c r="AL261" t="s">
        <v>900</v>
      </c>
      <c r="AM261" t="s">
        <v>76</v>
      </c>
      <c r="AN261" t="s">
        <v>65</v>
      </c>
      <c r="AO261" t="s">
        <v>3373</v>
      </c>
      <c r="AP261" t="s">
        <v>900</v>
      </c>
      <c r="AQ261" t="s">
        <v>80</v>
      </c>
      <c r="AR261" t="s">
        <v>65</v>
      </c>
      <c r="AS261" t="s">
        <v>3373</v>
      </c>
      <c r="AT261" t="s">
        <v>900</v>
      </c>
      <c r="AU261" t="s">
        <v>83</v>
      </c>
      <c r="AV261" t="s">
        <v>3374</v>
      </c>
    </row>
    <row r="262" spans="1:49">
      <c r="A262" t="str">
        <f>"80"</f>
        <v>80</v>
      </c>
      <c r="B262" t="s">
        <v>3145</v>
      </c>
      <c r="C262" t="str">
        <f>"6099"</f>
        <v>6099</v>
      </c>
      <c r="D262" t="s">
        <v>3375</v>
      </c>
      <c r="E262" t="str">
        <f>"986"</f>
        <v>986</v>
      </c>
      <c r="F262" t="s">
        <v>70</v>
      </c>
      <c r="G262" t="s">
        <v>536</v>
      </c>
      <c r="H262" t="s">
        <v>3376</v>
      </c>
      <c r="I262" t="s">
        <v>128</v>
      </c>
      <c r="J262" s="2" t="s">
        <v>3377</v>
      </c>
      <c r="K262" t="s">
        <v>3378</v>
      </c>
      <c r="L262" t="s">
        <v>60</v>
      </c>
      <c r="M262" t="s">
        <v>2499</v>
      </c>
      <c r="N262" t="s">
        <v>62</v>
      </c>
      <c r="O262" t="str">
        <f>"07114"</f>
        <v>07114</v>
      </c>
      <c r="P262" t="s">
        <v>3378</v>
      </c>
      <c r="S262" t="s">
        <v>2499</v>
      </c>
      <c r="T262" t="s">
        <v>62</v>
      </c>
      <c r="U262" t="str">
        <f>"07114"</f>
        <v>07114</v>
      </c>
      <c r="W262" t="s">
        <v>3379</v>
      </c>
      <c r="X262" t="s">
        <v>70</v>
      </c>
      <c r="Y262" t="s">
        <v>3380</v>
      </c>
      <c r="Z262" t="s">
        <v>3381</v>
      </c>
      <c r="AA262" t="s">
        <v>112</v>
      </c>
      <c r="AB262" t="s">
        <v>70</v>
      </c>
      <c r="AC262" t="s">
        <v>306</v>
      </c>
      <c r="AD262" t="s">
        <v>3382</v>
      </c>
      <c r="AE262" t="s">
        <v>181</v>
      </c>
      <c r="AF262" t="s">
        <v>77</v>
      </c>
      <c r="AG262" t="s">
        <v>3383</v>
      </c>
      <c r="AH262" t="s">
        <v>203</v>
      </c>
      <c r="AI262" t="s">
        <v>73</v>
      </c>
      <c r="AJ262" t="s">
        <v>70</v>
      </c>
      <c r="AK262" t="s">
        <v>771</v>
      </c>
      <c r="AL262" t="s">
        <v>3384</v>
      </c>
      <c r="AM262" t="s">
        <v>76</v>
      </c>
      <c r="AN262" t="s">
        <v>70</v>
      </c>
      <c r="AO262" t="s">
        <v>771</v>
      </c>
      <c r="AP262" t="s">
        <v>3384</v>
      </c>
      <c r="AQ262" t="s">
        <v>80</v>
      </c>
      <c r="AR262" t="s">
        <v>70</v>
      </c>
      <c r="AS262" t="s">
        <v>771</v>
      </c>
      <c r="AT262" t="s">
        <v>3384</v>
      </c>
      <c r="AU262" t="s">
        <v>83</v>
      </c>
      <c r="AV262" t="s">
        <v>3385</v>
      </c>
      <c r="AW262" t="str">
        <f>"3400773"</f>
        <v>3400773</v>
      </c>
    </row>
    <row r="263" spans="1:49">
      <c r="A263" t="str">
        <f>"13"</f>
        <v>13</v>
      </c>
      <c r="B263" t="s">
        <v>3145</v>
      </c>
      <c r="C263" t="str">
        <f>"2730"</f>
        <v>2730</v>
      </c>
      <c r="D263" t="s">
        <v>3386</v>
      </c>
      <c r="F263" t="s">
        <v>65</v>
      </c>
      <c r="G263" t="s">
        <v>281</v>
      </c>
      <c r="H263" t="s">
        <v>3387</v>
      </c>
      <c r="I263" t="s">
        <v>89</v>
      </c>
      <c r="J263" s="2" t="s">
        <v>3388</v>
      </c>
      <c r="K263" t="s">
        <v>3389</v>
      </c>
      <c r="L263" t="s">
        <v>60</v>
      </c>
      <c r="M263" t="s">
        <v>3390</v>
      </c>
      <c r="N263" t="s">
        <v>62</v>
      </c>
      <c r="O263" t="str">
        <f>"07039"</f>
        <v>07039</v>
      </c>
      <c r="P263" t="s">
        <v>3389</v>
      </c>
      <c r="S263" t="s">
        <v>3390</v>
      </c>
      <c r="T263" t="s">
        <v>62</v>
      </c>
      <c r="U263" t="str">
        <f>"07039"</f>
        <v>07039</v>
      </c>
      <c r="W263" t="s">
        <v>3391</v>
      </c>
      <c r="X263" t="s">
        <v>77</v>
      </c>
      <c r="Y263" t="s">
        <v>534</v>
      </c>
      <c r="Z263" t="s">
        <v>398</v>
      </c>
      <c r="AA263" t="s">
        <v>135</v>
      </c>
      <c r="AB263" t="s">
        <v>65</v>
      </c>
      <c r="AC263" t="s">
        <v>3392</v>
      </c>
      <c r="AD263" t="s">
        <v>3393</v>
      </c>
      <c r="AE263" t="s">
        <v>98</v>
      </c>
      <c r="AF263" t="s">
        <v>54</v>
      </c>
      <c r="AG263" t="s">
        <v>150</v>
      </c>
      <c r="AH263" t="s">
        <v>3394</v>
      </c>
      <c r="AI263" t="s">
        <v>73</v>
      </c>
      <c r="AJ263" t="s">
        <v>54</v>
      </c>
      <c r="AK263" t="s">
        <v>869</v>
      </c>
      <c r="AL263" t="s">
        <v>3395</v>
      </c>
      <c r="AM263" t="s">
        <v>76</v>
      </c>
      <c r="AR263" t="s">
        <v>77</v>
      </c>
      <c r="AS263" t="s">
        <v>1430</v>
      </c>
      <c r="AT263" t="s">
        <v>3396</v>
      </c>
      <c r="AU263" t="s">
        <v>83</v>
      </c>
      <c r="AV263" t="s">
        <v>3397</v>
      </c>
      <c r="AW263" t="str">
        <f>"3408820"</f>
        <v>3408820</v>
      </c>
    </row>
    <row r="264" spans="1:49">
      <c r="A264" t="str">
        <f>"80"</f>
        <v>80</v>
      </c>
      <c r="B264" t="s">
        <v>3145</v>
      </c>
      <c r="C264" t="str">
        <f>"7735"</f>
        <v>7735</v>
      </c>
      <c r="D264" t="s">
        <v>3398</v>
      </c>
      <c r="E264" t="str">
        <f>"975"</f>
        <v>975</v>
      </c>
      <c r="G264" t="s">
        <v>1708</v>
      </c>
      <c r="H264" t="s">
        <v>3399</v>
      </c>
      <c r="I264" t="s">
        <v>128</v>
      </c>
      <c r="J264" s="2" t="s">
        <v>3400</v>
      </c>
      <c r="K264" t="s">
        <v>3401</v>
      </c>
      <c r="L264" t="s">
        <v>3402</v>
      </c>
      <c r="M264" t="s">
        <v>2499</v>
      </c>
      <c r="N264" t="s">
        <v>62</v>
      </c>
      <c r="O264" t="str">
        <f>"07104"</f>
        <v>07104</v>
      </c>
      <c r="P264" t="s">
        <v>3403</v>
      </c>
      <c r="S264" t="s">
        <v>2499</v>
      </c>
      <c r="T264" t="s">
        <v>62</v>
      </c>
      <c r="U264" t="str">
        <f>"07104"</f>
        <v>07104</v>
      </c>
      <c r="W264" t="s">
        <v>3404</v>
      </c>
      <c r="Y264" t="s">
        <v>1196</v>
      </c>
      <c r="Z264" t="s">
        <v>3399</v>
      </c>
      <c r="AA264" t="s">
        <v>135</v>
      </c>
      <c r="AC264" t="s">
        <v>1528</v>
      </c>
      <c r="AD264" t="s">
        <v>3405</v>
      </c>
      <c r="AE264" t="s">
        <v>181</v>
      </c>
      <c r="AG264" t="s">
        <v>1528</v>
      </c>
      <c r="AH264" t="s">
        <v>3405</v>
      </c>
      <c r="AI264" t="s">
        <v>73</v>
      </c>
      <c r="AK264" t="s">
        <v>155</v>
      </c>
      <c r="AL264" t="s">
        <v>3406</v>
      </c>
      <c r="AM264" t="s">
        <v>76</v>
      </c>
      <c r="AO264" t="s">
        <v>338</v>
      </c>
      <c r="AP264" t="s">
        <v>3407</v>
      </c>
      <c r="AQ264" t="s">
        <v>80</v>
      </c>
      <c r="AV264" t="s">
        <v>3408</v>
      </c>
      <c r="AW264" t="str">
        <f>"3400026"</f>
        <v>3400026</v>
      </c>
    </row>
    <row r="265" spans="1:49">
      <c r="A265" t="str">
        <f>"80"</f>
        <v>80</v>
      </c>
      <c r="B265" t="s">
        <v>3145</v>
      </c>
      <c r="C265" t="str">
        <f>"7210"</f>
        <v>7210</v>
      </c>
      <c r="D265" t="s">
        <v>3409</v>
      </c>
      <c r="E265" t="str">
        <f>"940"</f>
        <v>940</v>
      </c>
      <c r="F265" t="s">
        <v>54</v>
      </c>
      <c r="G265" t="s">
        <v>3410</v>
      </c>
      <c r="H265" t="s">
        <v>3411</v>
      </c>
      <c r="I265" t="s">
        <v>57</v>
      </c>
      <c r="J265" s="2" t="s">
        <v>3412</v>
      </c>
      <c r="K265" t="s">
        <v>3413</v>
      </c>
      <c r="L265" t="s">
        <v>60</v>
      </c>
      <c r="M265" t="s">
        <v>2499</v>
      </c>
      <c r="N265" t="s">
        <v>62</v>
      </c>
      <c r="O265" t="str">
        <f>"07103"</f>
        <v>07103</v>
      </c>
      <c r="P265" t="s">
        <v>3413</v>
      </c>
      <c r="S265" t="s">
        <v>2499</v>
      </c>
      <c r="T265" t="s">
        <v>62</v>
      </c>
      <c r="U265" t="str">
        <f>"07103"</f>
        <v>07103</v>
      </c>
      <c r="W265" t="s">
        <v>3414</v>
      </c>
      <c r="X265" t="s">
        <v>70</v>
      </c>
      <c r="Y265" t="s">
        <v>3415</v>
      </c>
      <c r="Z265" t="s">
        <v>3416</v>
      </c>
      <c r="AA265" t="s">
        <v>135</v>
      </c>
      <c r="AB265" t="s">
        <v>70</v>
      </c>
      <c r="AC265" t="s">
        <v>2321</v>
      </c>
      <c r="AD265" t="s">
        <v>3151</v>
      </c>
      <c r="AE265" t="s">
        <v>98</v>
      </c>
      <c r="AF265" t="s">
        <v>70</v>
      </c>
      <c r="AG265" t="s">
        <v>3152</v>
      </c>
      <c r="AH265" t="s">
        <v>2433</v>
      </c>
      <c r="AI265" t="s">
        <v>73</v>
      </c>
      <c r="AJ265" t="s">
        <v>70</v>
      </c>
      <c r="AK265" t="s">
        <v>3153</v>
      </c>
      <c r="AL265" t="s">
        <v>3154</v>
      </c>
      <c r="AM265" t="s">
        <v>76</v>
      </c>
      <c r="AR265" t="s">
        <v>70</v>
      </c>
      <c r="AS265" t="s">
        <v>3155</v>
      </c>
      <c r="AT265" t="s">
        <v>857</v>
      </c>
      <c r="AU265" t="s">
        <v>83</v>
      </c>
      <c r="AV265" t="s">
        <v>3417</v>
      </c>
      <c r="AW265" t="str">
        <f>"3400022"</f>
        <v>3400022</v>
      </c>
    </row>
    <row r="266" spans="1:49">
      <c r="A266" t="str">
        <f>"13"</f>
        <v>13</v>
      </c>
      <c r="B266" t="s">
        <v>3145</v>
      </c>
      <c r="C266" t="str">
        <f>"3190"</f>
        <v>3190</v>
      </c>
      <c r="D266" t="s">
        <v>3418</v>
      </c>
      <c r="F266" t="s">
        <v>65</v>
      </c>
      <c r="G266" t="s">
        <v>306</v>
      </c>
      <c r="H266" t="s">
        <v>3419</v>
      </c>
      <c r="I266" t="s">
        <v>89</v>
      </c>
      <c r="J266" s="2" t="s">
        <v>3420</v>
      </c>
      <c r="K266" t="s">
        <v>3421</v>
      </c>
      <c r="L266" t="s">
        <v>60</v>
      </c>
      <c r="M266" t="s">
        <v>3422</v>
      </c>
      <c r="N266" t="s">
        <v>62</v>
      </c>
      <c r="O266" t="str">
        <f>"07041"</f>
        <v>07041</v>
      </c>
      <c r="P266" t="s">
        <v>3421</v>
      </c>
      <c r="S266" t="s">
        <v>3422</v>
      </c>
      <c r="T266" t="s">
        <v>62</v>
      </c>
      <c r="U266" t="str">
        <f>"07041"</f>
        <v>07041</v>
      </c>
      <c r="W266" t="s">
        <v>3423</v>
      </c>
      <c r="X266" t="s">
        <v>70</v>
      </c>
      <c r="Y266" t="s">
        <v>849</v>
      </c>
      <c r="Z266" t="s">
        <v>3424</v>
      </c>
      <c r="AA266" t="s">
        <v>135</v>
      </c>
      <c r="AB266" t="s">
        <v>54</v>
      </c>
      <c r="AC266" t="s">
        <v>155</v>
      </c>
      <c r="AD266" t="s">
        <v>3425</v>
      </c>
      <c r="AE266" t="s">
        <v>98</v>
      </c>
      <c r="AF266" t="s">
        <v>70</v>
      </c>
      <c r="AG266" t="s">
        <v>81</v>
      </c>
      <c r="AH266" t="s">
        <v>3426</v>
      </c>
      <c r="AI266" t="s">
        <v>73</v>
      </c>
      <c r="AJ266" t="s">
        <v>77</v>
      </c>
      <c r="AK266" t="s">
        <v>3427</v>
      </c>
      <c r="AL266" t="s">
        <v>3428</v>
      </c>
      <c r="AM266" t="s">
        <v>3429</v>
      </c>
      <c r="AR266" t="s">
        <v>77</v>
      </c>
      <c r="AS266" t="s">
        <v>120</v>
      </c>
      <c r="AT266" t="s">
        <v>3430</v>
      </c>
      <c r="AU266" t="s">
        <v>83</v>
      </c>
      <c r="AV266" t="s">
        <v>3431</v>
      </c>
      <c r="AW266" t="str">
        <f>"3410200"</f>
        <v>3410200</v>
      </c>
    </row>
    <row r="267" spans="1:49">
      <c r="A267" t="str">
        <f>"13"</f>
        <v>13</v>
      </c>
      <c r="B267" t="s">
        <v>3145</v>
      </c>
      <c r="C267" t="str">
        <f>"3310"</f>
        <v>3310</v>
      </c>
      <c r="D267" t="s">
        <v>3432</v>
      </c>
      <c r="F267" t="s">
        <v>65</v>
      </c>
      <c r="G267" t="s">
        <v>178</v>
      </c>
      <c r="H267" t="s">
        <v>3433</v>
      </c>
      <c r="I267" t="s">
        <v>57</v>
      </c>
      <c r="J267" s="2" t="s">
        <v>3434</v>
      </c>
      <c r="K267" t="s">
        <v>3435</v>
      </c>
      <c r="L267" t="s">
        <v>60</v>
      </c>
      <c r="M267" t="s">
        <v>3436</v>
      </c>
      <c r="N267" t="s">
        <v>62</v>
      </c>
      <c r="O267" t="str">
        <f>"07042"</f>
        <v>07042</v>
      </c>
      <c r="P267" t="s">
        <v>3435</v>
      </c>
      <c r="S267" t="s">
        <v>3436</v>
      </c>
      <c r="T267" t="s">
        <v>62</v>
      </c>
      <c r="U267" t="str">
        <f>"07042"</f>
        <v>07042</v>
      </c>
      <c r="W267" t="s">
        <v>3437</v>
      </c>
      <c r="X267" t="s">
        <v>77</v>
      </c>
      <c r="Y267" t="s">
        <v>3438</v>
      </c>
      <c r="Z267" t="s">
        <v>3439</v>
      </c>
      <c r="AA267" t="s">
        <v>112</v>
      </c>
      <c r="AB267" t="s">
        <v>77</v>
      </c>
      <c r="AC267" t="s">
        <v>319</v>
      </c>
      <c r="AD267" t="s">
        <v>3440</v>
      </c>
      <c r="AE267" t="s">
        <v>98</v>
      </c>
      <c r="AF267" t="s">
        <v>77</v>
      </c>
      <c r="AG267" t="s">
        <v>422</v>
      </c>
      <c r="AH267" t="s">
        <v>3441</v>
      </c>
      <c r="AI267" t="s">
        <v>73</v>
      </c>
      <c r="AJ267" t="s">
        <v>54</v>
      </c>
      <c r="AK267" t="s">
        <v>3442</v>
      </c>
      <c r="AL267" t="s">
        <v>3443</v>
      </c>
      <c r="AM267" t="s">
        <v>76</v>
      </c>
      <c r="AN267" t="s">
        <v>77</v>
      </c>
      <c r="AO267" t="s">
        <v>287</v>
      </c>
      <c r="AP267" t="s">
        <v>3444</v>
      </c>
      <c r="AQ267" t="s">
        <v>80</v>
      </c>
      <c r="AR267" t="s">
        <v>65</v>
      </c>
      <c r="AS267" t="s">
        <v>3445</v>
      </c>
      <c r="AT267" t="s">
        <v>3446</v>
      </c>
      <c r="AU267" t="s">
        <v>83</v>
      </c>
      <c r="AV267" t="s">
        <v>3447</v>
      </c>
      <c r="AW267" t="str">
        <f>"3410560"</f>
        <v>3410560</v>
      </c>
    </row>
    <row r="268" spans="1:49">
      <c r="A268" t="str">
        <f>"80"</f>
        <v>80</v>
      </c>
      <c r="B268" t="s">
        <v>3145</v>
      </c>
      <c r="C268" t="str">
        <f>"7290"</f>
        <v>7290</v>
      </c>
      <c r="D268" t="s">
        <v>3448</v>
      </c>
      <c r="E268" t="str">
        <f>"957"</f>
        <v>957</v>
      </c>
      <c r="F268" t="s">
        <v>70</v>
      </c>
      <c r="G268" t="s">
        <v>3449</v>
      </c>
      <c r="H268" t="s">
        <v>454</v>
      </c>
      <c r="I268" t="s">
        <v>57</v>
      </c>
      <c r="J268" s="2" t="s">
        <v>3450</v>
      </c>
      <c r="K268" t="s">
        <v>3451</v>
      </c>
      <c r="L268" t="s">
        <v>60</v>
      </c>
      <c r="M268" t="s">
        <v>2499</v>
      </c>
      <c r="N268" t="s">
        <v>62</v>
      </c>
      <c r="O268" t="str">
        <f>"07103"</f>
        <v>07103</v>
      </c>
      <c r="P268" t="s">
        <v>3451</v>
      </c>
      <c r="S268" t="s">
        <v>2499</v>
      </c>
      <c r="T268" t="s">
        <v>62</v>
      </c>
      <c r="U268" t="str">
        <f>"07103"</f>
        <v>07103</v>
      </c>
      <c r="W268" t="s">
        <v>3452</v>
      </c>
      <c r="X268" t="s">
        <v>77</v>
      </c>
      <c r="Y268" t="s">
        <v>1906</v>
      </c>
      <c r="Z268" t="s">
        <v>3453</v>
      </c>
      <c r="AA268" t="s">
        <v>112</v>
      </c>
      <c r="AB268" t="s">
        <v>70</v>
      </c>
      <c r="AC268" t="s">
        <v>3454</v>
      </c>
      <c r="AD268" t="s">
        <v>1932</v>
      </c>
      <c r="AE268" t="s">
        <v>415</v>
      </c>
      <c r="AF268" t="s">
        <v>70</v>
      </c>
      <c r="AG268" t="s">
        <v>3455</v>
      </c>
      <c r="AH268" t="s">
        <v>3456</v>
      </c>
      <c r="AI268" t="s">
        <v>73</v>
      </c>
      <c r="AJ268" t="s">
        <v>70</v>
      </c>
      <c r="AK268" t="s">
        <v>3457</v>
      </c>
      <c r="AL268" t="s">
        <v>3458</v>
      </c>
      <c r="AM268" t="s">
        <v>76</v>
      </c>
      <c r="AN268" t="s">
        <v>70</v>
      </c>
      <c r="AO268" t="s">
        <v>3457</v>
      </c>
      <c r="AP268" t="s">
        <v>3458</v>
      </c>
      <c r="AQ268" t="s">
        <v>80</v>
      </c>
      <c r="AR268" t="s">
        <v>70</v>
      </c>
      <c r="AS268" t="s">
        <v>3455</v>
      </c>
      <c r="AT268" t="s">
        <v>3456</v>
      </c>
      <c r="AU268" t="s">
        <v>83</v>
      </c>
      <c r="AV268" t="s">
        <v>3459</v>
      </c>
      <c r="AW268" t="str">
        <f>"3400023"</f>
        <v>3400023</v>
      </c>
    </row>
    <row r="269" spans="1:49">
      <c r="A269" t="str">
        <f>"80"</f>
        <v>80</v>
      </c>
      <c r="B269" t="s">
        <v>3145</v>
      </c>
      <c r="C269" t="str">
        <f>"6029"</f>
        <v>6029</v>
      </c>
      <c r="D269" t="s">
        <v>3460</v>
      </c>
      <c r="E269" t="str">
        <f>"911"</f>
        <v>911</v>
      </c>
      <c r="F269" t="s">
        <v>70</v>
      </c>
      <c r="G269" t="s">
        <v>3142</v>
      </c>
      <c r="H269" t="s">
        <v>3461</v>
      </c>
      <c r="I269" t="s">
        <v>128</v>
      </c>
      <c r="J269" s="2" t="s">
        <v>3462</v>
      </c>
      <c r="K269" t="s">
        <v>3463</v>
      </c>
      <c r="L269" t="s">
        <v>60</v>
      </c>
      <c r="M269" t="s">
        <v>2499</v>
      </c>
      <c r="N269" t="s">
        <v>62</v>
      </c>
      <c r="O269" t="str">
        <f>"07102"</f>
        <v>07102</v>
      </c>
      <c r="P269" t="s">
        <v>3463</v>
      </c>
      <c r="S269" t="s">
        <v>2499</v>
      </c>
      <c r="T269" t="s">
        <v>62</v>
      </c>
      <c r="U269" t="str">
        <f>"07102"</f>
        <v>07102</v>
      </c>
      <c r="W269" t="s">
        <v>3464</v>
      </c>
      <c r="X269" t="s">
        <v>65</v>
      </c>
      <c r="Y269" t="s">
        <v>212</v>
      </c>
      <c r="Z269" t="s">
        <v>491</v>
      </c>
      <c r="AA269" t="s">
        <v>68</v>
      </c>
      <c r="AB269" t="s">
        <v>70</v>
      </c>
      <c r="AC269" t="s">
        <v>3465</v>
      </c>
      <c r="AD269" t="s">
        <v>1156</v>
      </c>
      <c r="AE269" t="s">
        <v>181</v>
      </c>
      <c r="AF269" t="s">
        <v>70</v>
      </c>
      <c r="AG269" t="s">
        <v>3466</v>
      </c>
      <c r="AH269" t="s">
        <v>855</v>
      </c>
      <c r="AI269" t="s">
        <v>73</v>
      </c>
      <c r="AJ269" t="s">
        <v>70</v>
      </c>
      <c r="AK269" t="s">
        <v>3142</v>
      </c>
      <c r="AL269" t="s">
        <v>3461</v>
      </c>
      <c r="AM269" t="s">
        <v>76</v>
      </c>
      <c r="AN269" t="s">
        <v>77</v>
      </c>
      <c r="AO269" t="s">
        <v>677</v>
      </c>
      <c r="AP269" t="s">
        <v>3467</v>
      </c>
      <c r="AQ269" t="s">
        <v>80</v>
      </c>
      <c r="AR269" t="s">
        <v>70</v>
      </c>
      <c r="AS269" t="s">
        <v>3468</v>
      </c>
      <c r="AT269" t="s">
        <v>3469</v>
      </c>
      <c r="AU269" t="s">
        <v>83</v>
      </c>
      <c r="AV269" t="s">
        <v>3470</v>
      </c>
      <c r="AW269" t="str">
        <f>"3400730"</f>
        <v>3400730</v>
      </c>
    </row>
    <row r="270" spans="1:49">
      <c r="A270" t="str">
        <f>"13"</f>
        <v>13</v>
      </c>
      <c r="B270" t="s">
        <v>3145</v>
      </c>
      <c r="C270" t="str">
        <f>"3570"</f>
        <v>3570</v>
      </c>
      <c r="D270" t="s">
        <v>3471</v>
      </c>
      <c r="F270" t="s">
        <v>77</v>
      </c>
      <c r="G270" t="s">
        <v>3364</v>
      </c>
      <c r="H270" t="s">
        <v>3472</v>
      </c>
      <c r="I270" t="s">
        <v>57</v>
      </c>
      <c r="J270" s="2" t="s">
        <v>3473</v>
      </c>
      <c r="K270" t="s">
        <v>3474</v>
      </c>
      <c r="L270" t="s">
        <v>60</v>
      </c>
      <c r="M270" t="s">
        <v>2499</v>
      </c>
      <c r="N270" t="s">
        <v>62</v>
      </c>
      <c r="O270" t="str">
        <f>"07102"</f>
        <v>07102</v>
      </c>
      <c r="P270" t="s">
        <v>3474</v>
      </c>
      <c r="S270" t="s">
        <v>2499</v>
      </c>
      <c r="T270" t="s">
        <v>62</v>
      </c>
      <c r="U270" t="str">
        <f>"07102"</f>
        <v>07102</v>
      </c>
      <c r="W270" t="s">
        <v>3475</v>
      </c>
      <c r="X270" t="s">
        <v>70</v>
      </c>
      <c r="Y270" t="s">
        <v>3476</v>
      </c>
      <c r="Z270" t="s">
        <v>454</v>
      </c>
      <c r="AA270" t="s">
        <v>112</v>
      </c>
      <c r="AB270" t="s">
        <v>70</v>
      </c>
      <c r="AC270" t="s">
        <v>2185</v>
      </c>
      <c r="AD270" t="s">
        <v>3477</v>
      </c>
      <c r="AE270" t="s">
        <v>587</v>
      </c>
      <c r="AF270" t="s">
        <v>77</v>
      </c>
      <c r="AG270" t="s">
        <v>1037</v>
      </c>
      <c r="AH270" t="s">
        <v>3478</v>
      </c>
      <c r="AI270" t="s">
        <v>73</v>
      </c>
      <c r="AJ270" t="s">
        <v>70</v>
      </c>
      <c r="AK270" t="s">
        <v>3479</v>
      </c>
      <c r="AL270" t="s">
        <v>1423</v>
      </c>
      <c r="AM270" t="s">
        <v>76</v>
      </c>
      <c r="AN270" t="s">
        <v>77</v>
      </c>
      <c r="AO270" t="s">
        <v>3480</v>
      </c>
      <c r="AP270" t="s">
        <v>3481</v>
      </c>
      <c r="AQ270" t="s">
        <v>80</v>
      </c>
      <c r="AR270" t="s">
        <v>77</v>
      </c>
      <c r="AS270" t="s">
        <v>1418</v>
      </c>
      <c r="AT270" t="s">
        <v>3482</v>
      </c>
      <c r="AU270" t="s">
        <v>83</v>
      </c>
      <c r="AV270" t="s">
        <v>3483</v>
      </c>
      <c r="AW270" t="str">
        <f>"3411340"</f>
        <v>3411340</v>
      </c>
    </row>
    <row r="271" spans="1:49">
      <c r="A271" t="str">
        <f>"13"</f>
        <v>13</v>
      </c>
      <c r="B271" t="s">
        <v>3145</v>
      </c>
      <c r="C271" t="str">
        <f>"3630"</f>
        <v>3630</v>
      </c>
      <c r="D271" t="s">
        <v>3484</v>
      </c>
      <c r="F271" t="s">
        <v>65</v>
      </c>
      <c r="G271" t="s">
        <v>447</v>
      </c>
      <c r="H271" t="s">
        <v>3485</v>
      </c>
      <c r="I271" t="s">
        <v>57</v>
      </c>
      <c r="J271" s="2" t="s">
        <v>3486</v>
      </c>
      <c r="K271" t="s">
        <v>3487</v>
      </c>
      <c r="L271" t="s">
        <v>60</v>
      </c>
      <c r="M271" t="s">
        <v>3488</v>
      </c>
      <c r="N271" t="s">
        <v>62</v>
      </c>
      <c r="O271" t="str">
        <f>"07006"</f>
        <v>07006</v>
      </c>
      <c r="P271" t="s">
        <v>3487</v>
      </c>
      <c r="S271" t="s">
        <v>3488</v>
      </c>
      <c r="T271" t="s">
        <v>62</v>
      </c>
      <c r="U271" t="str">
        <f>"07006"</f>
        <v>07006</v>
      </c>
      <c r="W271" t="s">
        <v>3489</v>
      </c>
      <c r="X271" t="s">
        <v>77</v>
      </c>
      <c r="Y271" t="s">
        <v>120</v>
      </c>
      <c r="Z271" t="s">
        <v>3490</v>
      </c>
      <c r="AA271" t="s">
        <v>112</v>
      </c>
      <c r="AB271" t="s">
        <v>65</v>
      </c>
      <c r="AC271" t="s">
        <v>447</v>
      </c>
      <c r="AD271" t="s">
        <v>3485</v>
      </c>
      <c r="AE271" t="s">
        <v>98</v>
      </c>
      <c r="AF271" t="s">
        <v>54</v>
      </c>
      <c r="AG271" t="s">
        <v>447</v>
      </c>
      <c r="AH271" t="s">
        <v>3485</v>
      </c>
      <c r="AI271" t="s">
        <v>73</v>
      </c>
      <c r="AJ271" t="s">
        <v>77</v>
      </c>
      <c r="AK271" t="s">
        <v>1232</v>
      </c>
      <c r="AL271" t="s">
        <v>3491</v>
      </c>
      <c r="AM271" t="s">
        <v>76</v>
      </c>
      <c r="AN271" t="s">
        <v>77</v>
      </c>
      <c r="AO271" t="s">
        <v>3492</v>
      </c>
      <c r="AP271" t="s">
        <v>3493</v>
      </c>
      <c r="AQ271" t="s">
        <v>80</v>
      </c>
      <c r="AR271" t="s">
        <v>77</v>
      </c>
      <c r="AS271" t="s">
        <v>1232</v>
      </c>
      <c r="AT271" t="s">
        <v>3491</v>
      </c>
      <c r="AU271" t="s">
        <v>83</v>
      </c>
      <c r="AV271" t="s">
        <v>3494</v>
      </c>
      <c r="AW271" t="str">
        <f>"3411520"</f>
        <v>3411520</v>
      </c>
    </row>
    <row r="272" spans="1:49">
      <c r="A272" t="str">
        <f>"80"</f>
        <v>80</v>
      </c>
      <c r="B272" t="s">
        <v>3145</v>
      </c>
      <c r="C272" t="str">
        <f>"7320"</f>
        <v>7320</v>
      </c>
      <c r="D272" t="s">
        <v>3495</v>
      </c>
      <c r="E272" t="str">
        <f>"960"</f>
        <v>960</v>
      </c>
      <c r="G272" t="s">
        <v>449</v>
      </c>
      <c r="H272" t="s">
        <v>2303</v>
      </c>
      <c r="I272" t="s">
        <v>128</v>
      </c>
      <c r="J272" s="2" t="s">
        <v>2304</v>
      </c>
      <c r="K272" t="s">
        <v>3496</v>
      </c>
      <c r="L272" t="s">
        <v>60</v>
      </c>
      <c r="M272" t="s">
        <v>2499</v>
      </c>
      <c r="N272" t="s">
        <v>62</v>
      </c>
      <c r="O272" t="str">
        <f>"07102"</f>
        <v>07102</v>
      </c>
      <c r="P272" t="s">
        <v>3496</v>
      </c>
      <c r="S272" t="s">
        <v>2499</v>
      </c>
      <c r="T272" t="s">
        <v>62</v>
      </c>
      <c r="U272" t="str">
        <f>"07102"</f>
        <v>07102</v>
      </c>
      <c r="W272" t="s">
        <v>3497</v>
      </c>
      <c r="Y272" t="s">
        <v>2306</v>
      </c>
      <c r="Z272" t="s">
        <v>2307</v>
      </c>
      <c r="AA272" t="s">
        <v>112</v>
      </c>
      <c r="AC272" t="s">
        <v>3498</v>
      </c>
      <c r="AD272" t="s">
        <v>3499</v>
      </c>
      <c r="AE272" t="s">
        <v>181</v>
      </c>
      <c r="AG272" t="s">
        <v>422</v>
      </c>
      <c r="AH272" t="s">
        <v>3500</v>
      </c>
      <c r="AI272" t="s">
        <v>73</v>
      </c>
      <c r="AK272" t="s">
        <v>2208</v>
      </c>
      <c r="AL272" t="s">
        <v>3501</v>
      </c>
      <c r="AM272" t="s">
        <v>76</v>
      </c>
      <c r="AO272" t="s">
        <v>3502</v>
      </c>
      <c r="AP272" t="s">
        <v>3503</v>
      </c>
      <c r="AQ272" t="s">
        <v>80</v>
      </c>
      <c r="AS272" t="s">
        <v>2306</v>
      </c>
      <c r="AT272" t="s">
        <v>2307</v>
      </c>
      <c r="AU272" t="s">
        <v>83</v>
      </c>
      <c r="AV272" t="s">
        <v>3504</v>
      </c>
      <c r="AW272" t="str">
        <f>"3400024"</f>
        <v>3400024</v>
      </c>
    </row>
    <row r="273" spans="1:49">
      <c r="A273" t="str">
        <f>"13"</f>
        <v>13</v>
      </c>
      <c r="B273" t="s">
        <v>3145</v>
      </c>
      <c r="C273" t="str">
        <f>"3750"</f>
        <v>3750</v>
      </c>
      <c r="D273" t="s">
        <v>3505</v>
      </c>
      <c r="F273" t="s">
        <v>65</v>
      </c>
      <c r="G273" t="s">
        <v>1207</v>
      </c>
      <c r="H273" t="s">
        <v>3506</v>
      </c>
      <c r="I273" t="s">
        <v>89</v>
      </c>
      <c r="J273" s="2" t="s">
        <v>3507</v>
      </c>
      <c r="K273" t="s">
        <v>3508</v>
      </c>
      <c r="L273" t="s">
        <v>60</v>
      </c>
      <c r="M273" t="s">
        <v>3509</v>
      </c>
      <c r="N273" t="s">
        <v>62</v>
      </c>
      <c r="O273" t="str">
        <f>"07110"</f>
        <v>07110</v>
      </c>
      <c r="P273" t="s">
        <v>3508</v>
      </c>
      <c r="S273" t="s">
        <v>3509</v>
      </c>
      <c r="T273" t="s">
        <v>62</v>
      </c>
      <c r="U273" t="str">
        <f>"07110"</f>
        <v>07110</v>
      </c>
      <c r="W273" t="s">
        <v>3510</v>
      </c>
      <c r="X273" t="s">
        <v>77</v>
      </c>
      <c r="Y273" t="s">
        <v>190</v>
      </c>
      <c r="Z273" t="s">
        <v>3511</v>
      </c>
      <c r="AA273" t="s">
        <v>68</v>
      </c>
      <c r="AB273" t="s">
        <v>70</v>
      </c>
      <c r="AC273" t="s">
        <v>1706</v>
      </c>
      <c r="AD273" t="s">
        <v>3512</v>
      </c>
      <c r="AE273" t="s">
        <v>98</v>
      </c>
      <c r="AF273" t="s">
        <v>77</v>
      </c>
      <c r="AG273" t="s">
        <v>358</v>
      </c>
      <c r="AH273" t="s">
        <v>1776</v>
      </c>
      <c r="AI273" t="s">
        <v>73</v>
      </c>
      <c r="AJ273" t="s">
        <v>70</v>
      </c>
      <c r="AK273" t="s">
        <v>3513</v>
      </c>
      <c r="AL273" t="s">
        <v>3514</v>
      </c>
      <c r="AM273" t="s">
        <v>76</v>
      </c>
      <c r="AN273" t="s">
        <v>77</v>
      </c>
      <c r="AO273" t="s">
        <v>3492</v>
      </c>
      <c r="AP273" t="s">
        <v>3515</v>
      </c>
      <c r="AQ273" t="s">
        <v>80</v>
      </c>
      <c r="AR273" t="s">
        <v>77</v>
      </c>
      <c r="AS273" t="s">
        <v>3516</v>
      </c>
      <c r="AT273" t="s">
        <v>3517</v>
      </c>
      <c r="AU273" t="s">
        <v>83</v>
      </c>
      <c r="AV273" t="s">
        <v>3518</v>
      </c>
      <c r="AW273" t="str">
        <f>"3411880"</f>
        <v>3411880</v>
      </c>
    </row>
    <row r="274" spans="1:49">
      <c r="A274" t="str">
        <f>"13"</f>
        <v>13</v>
      </c>
      <c r="B274" t="s">
        <v>3145</v>
      </c>
      <c r="C274" t="str">
        <f>"3880"</f>
        <v>3880</v>
      </c>
      <c r="D274" t="s">
        <v>3519</v>
      </c>
      <c r="F274" t="s">
        <v>65</v>
      </c>
      <c r="G274" t="s">
        <v>3520</v>
      </c>
      <c r="H274" t="s">
        <v>3521</v>
      </c>
      <c r="I274" t="s">
        <v>89</v>
      </c>
      <c r="J274" s="2" t="s">
        <v>3522</v>
      </c>
      <c r="K274" t="s">
        <v>3523</v>
      </c>
      <c r="L274" t="s">
        <v>60</v>
      </c>
      <c r="M274" t="s">
        <v>3524</v>
      </c>
      <c r="N274" t="s">
        <v>62</v>
      </c>
      <c r="O274" t="str">
        <f>"07050"</f>
        <v>07050</v>
      </c>
      <c r="P274" t="s">
        <v>3523</v>
      </c>
      <c r="S274" t="s">
        <v>3524</v>
      </c>
      <c r="T274" t="s">
        <v>62</v>
      </c>
      <c r="U274" t="str">
        <f>"07050"</f>
        <v>07050</v>
      </c>
      <c r="W274" t="s">
        <v>3525</v>
      </c>
      <c r="X274" t="s">
        <v>65</v>
      </c>
      <c r="Y274" t="s">
        <v>3526</v>
      </c>
      <c r="Z274" t="s">
        <v>3527</v>
      </c>
      <c r="AA274" t="s">
        <v>773</v>
      </c>
      <c r="AB274" t="s">
        <v>70</v>
      </c>
      <c r="AC274" t="s">
        <v>3528</v>
      </c>
      <c r="AD274" t="s">
        <v>3529</v>
      </c>
      <c r="AE274" t="s">
        <v>913</v>
      </c>
      <c r="AF274" t="s">
        <v>54</v>
      </c>
      <c r="AG274" t="s">
        <v>3530</v>
      </c>
      <c r="AH274" t="s">
        <v>2253</v>
      </c>
      <c r="AI274" t="s">
        <v>73</v>
      </c>
      <c r="AJ274" t="s">
        <v>70</v>
      </c>
      <c r="AK274" t="s">
        <v>465</v>
      </c>
      <c r="AL274" t="s">
        <v>3531</v>
      </c>
      <c r="AM274" t="s">
        <v>76</v>
      </c>
      <c r="AN274" t="s">
        <v>77</v>
      </c>
      <c r="AO274" t="s">
        <v>243</v>
      </c>
      <c r="AP274" t="s">
        <v>3532</v>
      </c>
      <c r="AQ274" t="s">
        <v>80</v>
      </c>
      <c r="AR274" t="s">
        <v>65</v>
      </c>
      <c r="AS274" t="s">
        <v>3526</v>
      </c>
      <c r="AT274" t="s">
        <v>3527</v>
      </c>
      <c r="AU274" t="s">
        <v>83</v>
      </c>
      <c r="AV274" t="s">
        <v>3533</v>
      </c>
      <c r="AW274" t="str">
        <f>"3412270"</f>
        <v>3412270</v>
      </c>
    </row>
    <row r="275" spans="1:49">
      <c r="A275" t="str">
        <f>"80"</f>
        <v>80</v>
      </c>
      <c r="B275" t="s">
        <v>3145</v>
      </c>
      <c r="C275" t="str">
        <f>"6057"</f>
        <v>6057</v>
      </c>
      <c r="D275" t="s">
        <v>3534</v>
      </c>
      <c r="E275" t="str">
        <f>"938"</f>
        <v>938</v>
      </c>
      <c r="F275" t="s">
        <v>70</v>
      </c>
      <c r="G275" t="s">
        <v>928</v>
      </c>
      <c r="H275" t="s">
        <v>3535</v>
      </c>
      <c r="I275" t="s">
        <v>128</v>
      </c>
      <c r="J275" s="2" t="s">
        <v>3536</v>
      </c>
      <c r="K275" t="s">
        <v>3537</v>
      </c>
      <c r="L275" t="s">
        <v>3538</v>
      </c>
      <c r="M275" t="s">
        <v>2499</v>
      </c>
      <c r="N275" t="s">
        <v>62</v>
      </c>
      <c r="O275" t="str">
        <f>"07103"</f>
        <v>07103</v>
      </c>
      <c r="P275" t="s">
        <v>3537</v>
      </c>
      <c r="Q275" t="s">
        <v>3539</v>
      </c>
      <c r="S275" t="s">
        <v>2499</v>
      </c>
      <c r="T275" t="s">
        <v>62</v>
      </c>
      <c r="U275" t="str">
        <f>"07103"</f>
        <v>07103</v>
      </c>
      <c r="W275" t="s">
        <v>3540</v>
      </c>
      <c r="X275" t="s">
        <v>77</v>
      </c>
      <c r="Y275" t="s">
        <v>120</v>
      </c>
      <c r="Z275" t="s">
        <v>491</v>
      </c>
      <c r="AA275" t="s">
        <v>135</v>
      </c>
      <c r="AB275" t="s">
        <v>70</v>
      </c>
      <c r="AC275" t="s">
        <v>521</v>
      </c>
      <c r="AD275" t="s">
        <v>3541</v>
      </c>
      <c r="AE275" t="s">
        <v>913</v>
      </c>
      <c r="AF275" t="s">
        <v>77</v>
      </c>
      <c r="AG275" t="s">
        <v>697</v>
      </c>
      <c r="AH275" t="s">
        <v>398</v>
      </c>
      <c r="AI275" t="s">
        <v>73</v>
      </c>
      <c r="AJ275" t="s">
        <v>70</v>
      </c>
      <c r="AK275" t="s">
        <v>521</v>
      </c>
      <c r="AL275" t="s">
        <v>3541</v>
      </c>
      <c r="AM275" t="s">
        <v>76</v>
      </c>
      <c r="AN275" t="s">
        <v>77</v>
      </c>
      <c r="AO275" t="s">
        <v>521</v>
      </c>
      <c r="AP275" t="s">
        <v>3541</v>
      </c>
      <c r="AQ275" t="s">
        <v>80</v>
      </c>
      <c r="AR275" t="s">
        <v>70</v>
      </c>
      <c r="AS275" t="s">
        <v>3253</v>
      </c>
      <c r="AT275" t="s">
        <v>3542</v>
      </c>
      <c r="AU275" t="s">
        <v>83</v>
      </c>
      <c r="AV275" t="s">
        <v>3543</v>
      </c>
      <c r="AW275" t="str">
        <f>"3400754"</f>
        <v>3400754</v>
      </c>
    </row>
    <row r="276" spans="1:49">
      <c r="A276" t="str">
        <f>"80"</f>
        <v>80</v>
      </c>
      <c r="B276" t="s">
        <v>3145</v>
      </c>
      <c r="C276" t="str">
        <f>"6094"</f>
        <v>6094</v>
      </c>
      <c r="D276" t="s">
        <v>3544</v>
      </c>
      <c r="E276" t="str">
        <f>"968"</f>
        <v>968</v>
      </c>
      <c r="F276" t="s">
        <v>54</v>
      </c>
      <c r="G276" t="s">
        <v>3545</v>
      </c>
      <c r="H276" t="s">
        <v>3546</v>
      </c>
      <c r="I276" t="s">
        <v>128</v>
      </c>
      <c r="J276" s="2" t="s">
        <v>3547</v>
      </c>
      <c r="K276" t="s">
        <v>3548</v>
      </c>
      <c r="L276" t="s">
        <v>60</v>
      </c>
      <c r="M276" t="s">
        <v>2499</v>
      </c>
      <c r="N276" t="s">
        <v>62</v>
      </c>
      <c r="O276" t="str">
        <f>"07103"</f>
        <v>07103</v>
      </c>
      <c r="P276" t="s">
        <v>3548</v>
      </c>
      <c r="S276" t="s">
        <v>2499</v>
      </c>
      <c r="T276" t="s">
        <v>62</v>
      </c>
      <c r="U276" t="str">
        <f>"07103"</f>
        <v>07103</v>
      </c>
      <c r="W276" t="s">
        <v>3549</v>
      </c>
      <c r="X276" t="s">
        <v>54</v>
      </c>
      <c r="Y276" t="s">
        <v>3550</v>
      </c>
      <c r="Z276" t="s">
        <v>3551</v>
      </c>
      <c r="AA276" t="s">
        <v>112</v>
      </c>
      <c r="AB276" t="s">
        <v>70</v>
      </c>
      <c r="AC276" t="s">
        <v>3552</v>
      </c>
      <c r="AD276" t="s">
        <v>3553</v>
      </c>
      <c r="AE276" t="s">
        <v>181</v>
      </c>
      <c r="AF276" t="s">
        <v>70</v>
      </c>
      <c r="AG276" t="s">
        <v>1688</v>
      </c>
      <c r="AH276" t="s">
        <v>3554</v>
      </c>
      <c r="AI276" t="s">
        <v>73</v>
      </c>
      <c r="AJ276" t="s">
        <v>70</v>
      </c>
      <c r="AK276" t="s">
        <v>140</v>
      </c>
      <c r="AL276" t="s">
        <v>3555</v>
      </c>
      <c r="AM276" t="s">
        <v>76</v>
      </c>
      <c r="AN276" t="s">
        <v>77</v>
      </c>
      <c r="AO276" t="s">
        <v>3556</v>
      </c>
      <c r="AP276" t="s">
        <v>3557</v>
      </c>
      <c r="AQ276" t="s">
        <v>80</v>
      </c>
      <c r="AR276" t="s">
        <v>77</v>
      </c>
      <c r="AS276" t="s">
        <v>287</v>
      </c>
      <c r="AT276" t="s">
        <v>3558</v>
      </c>
      <c r="AU276" t="s">
        <v>83</v>
      </c>
      <c r="AV276" t="s">
        <v>3559</v>
      </c>
    </row>
    <row r="277" spans="1:49">
      <c r="A277" t="str">
        <f>"80"</f>
        <v>80</v>
      </c>
      <c r="B277" t="s">
        <v>3145</v>
      </c>
      <c r="C277" t="str">
        <f>"6020"</f>
        <v>6020</v>
      </c>
      <c r="D277" t="s">
        <v>3560</v>
      </c>
      <c r="E277" t="str">
        <f>"985"</f>
        <v>985</v>
      </c>
      <c r="F277" t="s">
        <v>54</v>
      </c>
      <c r="G277" t="s">
        <v>3561</v>
      </c>
      <c r="H277" t="s">
        <v>319</v>
      </c>
      <c r="I277" t="s">
        <v>128</v>
      </c>
      <c r="J277" s="2" t="s">
        <v>3562</v>
      </c>
      <c r="K277" t="s">
        <v>3563</v>
      </c>
      <c r="L277" t="s">
        <v>60</v>
      </c>
      <c r="M277" t="s">
        <v>3237</v>
      </c>
      <c r="N277" t="s">
        <v>62</v>
      </c>
      <c r="O277" t="str">
        <f>"07018"</f>
        <v>07018</v>
      </c>
      <c r="P277" t="s">
        <v>3563</v>
      </c>
      <c r="S277" t="s">
        <v>3237</v>
      </c>
      <c r="T277" t="s">
        <v>62</v>
      </c>
      <c r="U277" t="str">
        <f>"07018"</f>
        <v>07018</v>
      </c>
      <c r="W277" t="s">
        <v>3564</v>
      </c>
      <c r="X277" t="s">
        <v>77</v>
      </c>
      <c r="Y277" t="s">
        <v>3565</v>
      </c>
      <c r="Z277" t="s">
        <v>259</v>
      </c>
      <c r="AA277" t="s">
        <v>112</v>
      </c>
      <c r="AB277" t="s">
        <v>54</v>
      </c>
      <c r="AC277" t="s">
        <v>3566</v>
      </c>
      <c r="AD277" t="s">
        <v>3567</v>
      </c>
      <c r="AE277" t="s">
        <v>181</v>
      </c>
      <c r="AF277" t="s">
        <v>70</v>
      </c>
      <c r="AG277" t="s">
        <v>347</v>
      </c>
      <c r="AH277" t="s">
        <v>817</v>
      </c>
      <c r="AI277" t="s">
        <v>73</v>
      </c>
      <c r="AJ277" t="s">
        <v>77</v>
      </c>
      <c r="AK277" t="s">
        <v>3568</v>
      </c>
      <c r="AL277" t="s">
        <v>3569</v>
      </c>
      <c r="AM277" t="s">
        <v>76</v>
      </c>
      <c r="AN277" t="s">
        <v>70</v>
      </c>
      <c r="AO277" t="s">
        <v>1437</v>
      </c>
      <c r="AP277" t="s">
        <v>604</v>
      </c>
      <c r="AQ277" t="s">
        <v>80</v>
      </c>
      <c r="AR277" t="s">
        <v>77</v>
      </c>
      <c r="AS277" t="s">
        <v>3568</v>
      </c>
      <c r="AT277" t="s">
        <v>3569</v>
      </c>
      <c r="AU277" t="s">
        <v>83</v>
      </c>
      <c r="AV277" t="s">
        <v>3570</v>
      </c>
      <c r="AW277" t="str">
        <f>"3400719"</f>
        <v>3400719</v>
      </c>
    </row>
    <row r="278" spans="1:49">
      <c r="A278" t="str">
        <f>"80"</f>
        <v>80</v>
      </c>
      <c r="B278" t="s">
        <v>3145</v>
      </c>
      <c r="C278" t="str">
        <f>"7730"</f>
        <v>7730</v>
      </c>
      <c r="D278" t="s">
        <v>3571</v>
      </c>
      <c r="E278" t="str">
        <f>"970"</f>
        <v>970</v>
      </c>
      <c r="G278" t="s">
        <v>1085</v>
      </c>
      <c r="H278" t="s">
        <v>3572</v>
      </c>
      <c r="I278" t="s">
        <v>128</v>
      </c>
      <c r="J278" s="2" t="s">
        <v>3573</v>
      </c>
      <c r="K278" t="s">
        <v>3574</v>
      </c>
      <c r="L278" t="s">
        <v>60</v>
      </c>
      <c r="M278" t="s">
        <v>2499</v>
      </c>
      <c r="N278" t="s">
        <v>62</v>
      </c>
      <c r="O278" t="s">
        <v>3575</v>
      </c>
      <c r="P278" t="s">
        <v>3574</v>
      </c>
      <c r="S278" t="s">
        <v>2499</v>
      </c>
      <c r="T278" t="s">
        <v>62</v>
      </c>
      <c r="U278" t="str">
        <f>"07104"</f>
        <v>07104</v>
      </c>
      <c r="V278" t="str">
        <f>"1339"</f>
        <v>1339</v>
      </c>
      <c r="W278" t="s">
        <v>3576</v>
      </c>
      <c r="Y278" t="s">
        <v>873</v>
      </c>
      <c r="Z278" t="s">
        <v>3577</v>
      </c>
      <c r="AA278" t="s">
        <v>112</v>
      </c>
      <c r="AC278" t="s">
        <v>932</v>
      </c>
      <c r="AD278" t="s">
        <v>3578</v>
      </c>
      <c r="AE278" t="s">
        <v>181</v>
      </c>
      <c r="AG278" t="s">
        <v>555</v>
      </c>
      <c r="AH278" t="s">
        <v>3579</v>
      </c>
      <c r="AI278" t="s">
        <v>73</v>
      </c>
      <c r="AK278" t="s">
        <v>3580</v>
      </c>
      <c r="AL278" t="s">
        <v>3578</v>
      </c>
      <c r="AM278" t="s">
        <v>76</v>
      </c>
      <c r="AO278" t="s">
        <v>178</v>
      </c>
      <c r="AP278" t="s">
        <v>3581</v>
      </c>
      <c r="AQ278" t="s">
        <v>80</v>
      </c>
      <c r="AS278" t="s">
        <v>555</v>
      </c>
      <c r="AT278" t="s">
        <v>3579</v>
      </c>
      <c r="AU278" t="s">
        <v>83</v>
      </c>
      <c r="AV278" t="s">
        <v>3582</v>
      </c>
      <c r="AW278" t="str">
        <f>"3400025"</f>
        <v>3400025</v>
      </c>
    </row>
    <row r="279" spans="1:49">
      <c r="A279" t="str">
        <f>"13"</f>
        <v>13</v>
      </c>
      <c r="B279" t="s">
        <v>3145</v>
      </c>
      <c r="C279" t="str">
        <f>"4530"</f>
        <v>4530</v>
      </c>
      <c r="D279" t="s">
        <v>3583</v>
      </c>
      <c r="F279" t="s">
        <v>70</v>
      </c>
      <c r="G279" t="s">
        <v>3584</v>
      </c>
      <c r="H279" t="s">
        <v>3585</v>
      </c>
      <c r="I279" t="s">
        <v>89</v>
      </c>
      <c r="J279" s="2" t="s">
        <v>3586</v>
      </c>
      <c r="K279" t="s">
        <v>3587</v>
      </c>
      <c r="L279" t="s">
        <v>60</v>
      </c>
      <c r="M279" t="s">
        <v>3588</v>
      </c>
      <c r="N279" t="s">
        <v>62</v>
      </c>
      <c r="O279" t="s">
        <v>3589</v>
      </c>
      <c r="P279" t="s">
        <v>3587</v>
      </c>
      <c r="S279" t="s">
        <v>3588</v>
      </c>
      <c r="T279" t="s">
        <v>62</v>
      </c>
      <c r="U279" t="str">
        <f>"07068"</f>
        <v>07068</v>
      </c>
      <c r="V279" t="str">
        <f>"1205"</f>
        <v>1205</v>
      </c>
      <c r="W279" t="s">
        <v>3590</v>
      </c>
      <c r="X279" t="s">
        <v>77</v>
      </c>
      <c r="Y279" t="s">
        <v>2534</v>
      </c>
      <c r="Z279" t="s">
        <v>3591</v>
      </c>
      <c r="AA279" t="s">
        <v>112</v>
      </c>
      <c r="AB279" t="s">
        <v>77</v>
      </c>
      <c r="AC279" t="s">
        <v>223</v>
      </c>
      <c r="AD279" t="s">
        <v>3592</v>
      </c>
      <c r="AE279" t="s">
        <v>69</v>
      </c>
      <c r="AF279" t="s">
        <v>77</v>
      </c>
      <c r="AG279" t="s">
        <v>223</v>
      </c>
      <c r="AH279" t="s">
        <v>3592</v>
      </c>
      <c r="AI279" t="s">
        <v>73</v>
      </c>
      <c r="AJ279" t="s">
        <v>77</v>
      </c>
      <c r="AK279" t="s">
        <v>3593</v>
      </c>
      <c r="AL279" t="s">
        <v>3594</v>
      </c>
      <c r="AM279" t="s">
        <v>76</v>
      </c>
      <c r="AR279" t="s">
        <v>77</v>
      </c>
      <c r="AS279" t="s">
        <v>3593</v>
      </c>
      <c r="AT279" t="s">
        <v>3594</v>
      </c>
      <c r="AU279" t="s">
        <v>83</v>
      </c>
      <c r="AV279" t="s">
        <v>3595</v>
      </c>
      <c r="AW279" t="str">
        <f>"3414250"</f>
        <v>3414250</v>
      </c>
    </row>
    <row r="280" spans="1:49">
      <c r="A280" t="str">
        <f>"80"</f>
        <v>80</v>
      </c>
      <c r="B280" t="s">
        <v>3145</v>
      </c>
      <c r="C280" t="str">
        <f>"6058"</f>
        <v>6058</v>
      </c>
      <c r="D280" t="s">
        <v>3596</v>
      </c>
      <c r="E280" t="str">
        <f>"939"</f>
        <v>939</v>
      </c>
      <c r="F280" t="s">
        <v>65</v>
      </c>
      <c r="G280" t="s">
        <v>496</v>
      </c>
      <c r="H280" t="s">
        <v>3597</v>
      </c>
      <c r="I280" t="s">
        <v>89</v>
      </c>
      <c r="J280" s="2" t="s">
        <v>3598</v>
      </c>
      <c r="K280" t="s">
        <v>3599</v>
      </c>
      <c r="L280" t="s">
        <v>60</v>
      </c>
      <c r="M280" t="s">
        <v>3600</v>
      </c>
      <c r="N280" t="s">
        <v>62</v>
      </c>
      <c r="O280" t="str">
        <f>"07107"</f>
        <v>07107</v>
      </c>
      <c r="P280" t="s">
        <v>3599</v>
      </c>
      <c r="S280" t="s">
        <v>3600</v>
      </c>
      <c r="T280" t="s">
        <v>62</v>
      </c>
      <c r="U280" t="str">
        <f>"07107"</f>
        <v>07107</v>
      </c>
      <c r="W280">
        <v>9734834400</v>
      </c>
      <c r="X280" t="s">
        <v>65</v>
      </c>
      <c r="Y280" t="s">
        <v>212</v>
      </c>
      <c r="Z280" t="s">
        <v>491</v>
      </c>
      <c r="AA280" t="s">
        <v>68</v>
      </c>
      <c r="AB280" t="s">
        <v>77</v>
      </c>
      <c r="AC280" t="s">
        <v>212</v>
      </c>
      <c r="AD280" t="s">
        <v>3601</v>
      </c>
      <c r="AE280" t="s">
        <v>181</v>
      </c>
      <c r="AF280" t="s">
        <v>77</v>
      </c>
      <c r="AG280" t="s">
        <v>3602</v>
      </c>
      <c r="AH280" t="s">
        <v>3603</v>
      </c>
      <c r="AI280" t="s">
        <v>73</v>
      </c>
      <c r="AJ280" t="s">
        <v>70</v>
      </c>
      <c r="AK280" t="s">
        <v>3604</v>
      </c>
      <c r="AL280" t="s">
        <v>3605</v>
      </c>
      <c r="AM280" t="s">
        <v>76</v>
      </c>
      <c r="AN280" t="s">
        <v>54</v>
      </c>
      <c r="AO280" t="s">
        <v>3606</v>
      </c>
      <c r="AP280" t="s">
        <v>3341</v>
      </c>
      <c r="AQ280" t="s">
        <v>80</v>
      </c>
      <c r="AR280" t="s">
        <v>54</v>
      </c>
      <c r="AS280" t="s">
        <v>3606</v>
      </c>
      <c r="AT280" t="s">
        <v>3341</v>
      </c>
      <c r="AU280" t="s">
        <v>83</v>
      </c>
      <c r="AV280" t="s">
        <v>3607</v>
      </c>
      <c r="AW280" t="str">
        <f>"3400755"</f>
        <v>3400755</v>
      </c>
    </row>
    <row r="281" spans="1:49">
      <c r="A281" t="str">
        <f>"13"</f>
        <v>13</v>
      </c>
      <c r="B281" t="s">
        <v>3145</v>
      </c>
      <c r="C281" t="str">
        <f>"4900"</f>
        <v>4900</v>
      </c>
      <c r="D281" t="s">
        <v>3608</v>
      </c>
      <c r="F281" t="s">
        <v>65</v>
      </c>
      <c r="G281" t="s">
        <v>844</v>
      </c>
      <c r="H281" t="s">
        <v>899</v>
      </c>
      <c r="I281" t="s">
        <v>89</v>
      </c>
      <c r="J281" s="2" t="s">
        <v>3609</v>
      </c>
      <c r="K281" t="s">
        <v>3610</v>
      </c>
      <c r="L281" t="s">
        <v>60</v>
      </c>
      <c r="M281" t="s">
        <v>3611</v>
      </c>
      <c r="N281" t="s">
        <v>62</v>
      </c>
      <c r="O281" t="str">
        <f>"07040"</f>
        <v>07040</v>
      </c>
      <c r="P281" t="s">
        <v>3610</v>
      </c>
      <c r="S281" t="s">
        <v>3611</v>
      </c>
      <c r="T281" t="s">
        <v>62</v>
      </c>
      <c r="U281" t="str">
        <f>"07040"</f>
        <v>07040</v>
      </c>
      <c r="W281" t="s">
        <v>3612</v>
      </c>
      <c r="X281" t="s">
        <v>54</v>
      </c>
      <c r="Y281" t="s">
        <v>607</v>
      </c>
      <c r="Z281" t="s">
        <v>3613</v>
      </c>
      <c r="AA281" t="s">
        <v>135</v>
      </c>
      <c r="AB281" t="s">
        <v>65</v>
      </c>
      <c r="AC281" t="s">
        <v>3614</v>
      </c>
      <c r="AD281" t="s">
        <v>3615</v>
      </c>
      <c r="AE281" t="s">
        <v>98</v>
      </c>
      <c r="AF281" t="s">
        <v>65</v>
      </c>
      <c r="AG281" t="s">
        <v>3616</v>
      </c>
      <c r="AH281" t="s">
        <v>3617</v>
      </c>
      <c r="AI281" t="s">
        <v>73</v>
      </c>
      <c r="AJ281" t="s">
        <v>65</v>
      </c>
      <c r="AK281" t="s">
        <v>281</v>
      </c>
      <c r="AL281" t="s">
        <v>3618</v>
      </c>
      <c r="AM281" t="s">
        <v>76</v>
      </c>
      <c r="AN281" t="s">
        <v>77</v>
      </c>
      <c r="AO281" t="s">
        <v>3619</v>
      </c>
      <c r="AP281" t="s">
        <v>3620</v>
      </c>
      <c r="AQ281" t="s">
        <v>80</v>
      </c>
      <c r="AS281" t="s">
        <v>3621</v>
      </c>
      <c r="AT281" t="s">
        <v>3621</v>
      </c>
      <c r="AU281" t="s">
        <v>83</v>
      </c>
      <c r="AV281" t="s">
        <v>3622</v>
      </c>
      <c r="AW281" t="str">
        <f>"3415330"</f>
        <v>3415330</v>
      </c>
    </row>
    <row r="282" spans="1:49">
      <c r="A282" t="str">
        <f>"80"</f>
        <v>80</v>
      </c>
      <c r="B282" t="s">
        <v>3145</v>
      </c>
      <c r="C282" t="str">
        <f>"7325"</f>
        <v>7325</v>
      </c>
      <c r="D282" t="s">
        <v>3623</v>
      </c>
      <c r="E282" t="str">
        <f>"965"</f>
        <v>965</v>
      </c>
      <c r="F282" t="s">
        <v>70</v>
      </c>
      <c r="G282" t="s">
        <v>1284</v>
      </c>
      <c r="H282" t="s">
        <v>3624</v>
      </c>
      <c r="I282" t="s">
        <v>128</v>
      </c>
      <c r="J282" s="2" t="s">
        <v>3625</v>
      </c>
      <c r="K282" t="s">
        <v>2497</v>
      </c>
      <c r="L282" t="s">
        <v>3626</v>
      </c>
      <c r="M282" t="s">
        <v>2499</v>
      </c>
      <c r="N282" t="s">
        <v>62</v>
      </c>
      <c r="O282" t="str">
        <f>"07102"</f>
        <v>07102</v>
      </c>
      <c r="P282" t="s">
        <v>2497</v>
      </c>
      <c r="Q282" t="s">
        <v>2498</v>
      </c>
      <c r="S282" t="s">
        <v>2499</v>
      </c>
      <c r="T282" t="s">
        <v>62</v>
      </c>
      <c r="U282" t="str">
        <f>"07102"</f>
        <v>07102</v>
      </c>
      <c r="W282">
        <v>9736220905</v>
      </c>
      <c r="X282" t="s">
        <v>77</v>
      </c>
      <c r="Y282" t="s">
        <v>534</v>
      </c>
      <c r="Z282" t="s">
        <v>2501</v>
      </c>
      <c r="AA282" t="s">
        <v>112</v>
      </c>
      <c r="AB282" t="s">
        <v>70</v>
      </c>
      <c r="AC282" t="s">
        <v>1375</v>
      </c>
      <c r="AD282" t="s">
        <v>3627</v>
      </c>
      <c r="AE282" t="s">
        <v>181</v>
      </c>
      <c r="AF282" t="s">
        <v>70</v>
      </c>
      <c r="AG282" t="s">
        <v>716</v>
      </c>
      <c r="AH282" t="s">
        <v>3628</v>
      </c>
      <c r="AI282" t="s">
        <v>73</v>
      </c>
      <c r="AJ282" t="s">
        <v>70</v>
      </c>
      <c r="AK282" t="s">
        <v>2505</v>
      </c>
      <c r="AL282" t="s">
        <v>259</v>
      </c>
      <c r="AM282" t="s">
        <v>76</v>
      </c>
      <c r="AN282" t="s">
        <v>77</v>
      </c>
      <c r="AO282" t="s">
        <v>2506</v>
      </c>
      <c r="AP282" t="s">
        <v>2507</v>
      </c>
      <c r="AQ282" t="s">
        <v>80</v>
      </c>
      <c r="AR282" t="s">
        <v>70</v>
      </c>
      <c r="AS282" t="s">
        <v>78</v>
      </c>
      <c r="AT282" t="s">
        <v>3629</v>
      </c>
      <c r="AU282" t="s">
        <v>83</v>
      </c>
      <c r="AV282" t="s">
        <v>2509</v>
      </c>
      <c r="AW282" t="str">
        <f>"3400070"</f>
        <v>3400070</v>
      </c>
    </row>
    <row r="283" spans="1:49">
      <c r="A283" t="str">
        <f>"80"</f>
        <v>80</v>
      </c>
      <c r="B283" t="s">
        <v>3145</v>
      </c>
      <c r="C283" t="str">
        <f>"8065"</f>
        <v>8065</v>
      </c>
      <c r="D283" t="s">
        <v>3630</v>
      </c>
      <c r="E283" t="str">
        <f>"980"</f>
        <v>980</v>
      </c>
      <c r="F283" t="s">
        <v>65</v>
      </c>
      <c r="G283" t="s">
        <v>3631</v>
      </c>
      <c r="H283" t="s">
        <v>3632</v>
      </c>
      <c r="I283" t="s">
        <v>128</v>
      </c>
      <c r="J283" s="2" t="s">
        <v>3633</v>
      </c>
      <c r="K283" t="s">
        <v>3634</v>
      </c>
      <c r="L283" t="s">
        <v>60</v>
      </c>
      <c r="M283" t="s">
        <v>2499</v>
      </c>
      <c r="N283" t="s">
        <v>62</v>
      </c>
      <c r="O283" t="str">
        <f>"07103"</f>
        <v>07103</v>
      </c>
      <c r="P283" t="s">
        <v>3634</v>
      </c>
      <c r="S283" t="s">
        <v>2499</v>
      </c>
      <c r="T283" t="s">
        <v>62</v>
      </c>
      <c r="U283" t="str">
        <f>"07103"</f>
        <v>07103</v>
      </c>
      <c r="W283" t="s">
        <v>3635</v>
      </c>
      <c r="X283" t="s">
        <v>70</v>
      </c>
      <c r="Y283" t="s">
        <v>3636</v>
      </c>
      <c r="Z283" t="s">
        <v>1360</v>
      </c>
      <c r="AA283" t="s">
        <v>68</v>
      </c>
      <c r="AB283" t="s">
        <v>65</v>
      </c>
      <c r="AC283" t="s">
        <v>3637</v>
      </c>
      <c r="AD283" t="s">
        <v>2523</v>
      </c>
      <c r="AE283" t="s">
        <v>181</v>
      </c>
      <c r="AF283" t="s">
        <v>77</v>
      </c>
      <c r="AG283" t="s">
        <v>3638</v>
      </c>
      <c r="AH283" t="s">
        <v>2111</v>
      </c>
      <c r="AI283" t="s">
        <v>73</v>
      </c>
      <c r="AJ283" t="s">
        <v>65</v>
      </c>
      <c r="AK283" t="s">
        <v>3631</v>
      </c>
      <c r="AL283" t="s">
        <v>3632</v>
      </c>
      <c r="AM283" t="s">
        <v>76</v>
      </c>
      <c r="AN283" t="s">
        <v>65</v>
      </c>
      <c r="AO283" t="s">
        <v>3631</v>
      </c>
      <c r="AP283" t="s">
        <v>3632</v>
      </c>
      <c r="AQ283" t="s">
        <v>80</v>
      </c>
      <c r="AV283" t="s">
        <v>3639</v>
      </c>
      <c r="AW283" t="str">
        <f>"3400084"</f>
        <v>3400084</v>
      </c>
    </row>
    <row r="284" spans="1:49">
      <c r="A284" t="str">
        <f>"13"</f>
        <v>13</v>
      </c>
      <c r="B284" t="s">
        <v>3145</v>
      </c>
      <c r="C284" t="str">
        <f>"5370"</f>
        <v>5370</v>
      </c>
      <c r="D284" t="s">
        <v>3640</v>
      </c>
      <c r="F284" t="s">
        <v>65</v>
      </c>
      <c r="G284" t="s">
        <v>3641</v>
      </c>
      <c r="H284" t="s">
        <v>3642</v>
      </c>
      <c r="I284" t="s">
        <v>57</v>
      </c>
      <c r="J284" s="2" t="s">
        <v>3643</v>
      </c>
      <c r="K284" t="s">
        <v>3644</v>
      </c>
      <c r="L284" t="s">
        <v>60</v>
      </c>
      <c r="M284" t="s">
        <v>3645</v>
      </c>
      <c r="N284" t="s">
        <v>62</v>
      </c>
      <c r="O284" t="str">
        <f>"07044"</f>
        <v>07044</v>
      </c>
      <c r="P284" t="s">
        <v>3644</v>
      </c>
      <c r="S284" t="s">
        <v>3645</v>
      </c>
      <c r="T284" t="s">
        <v>62</v>
      </c>
      <c r="U284" t="str">
        <f>"07044"</f>
        <v>07044</v>
      </c>
      <c r="W284" t="s">
        <v>3646</v>
      </c>
      <c r="X284" t="s">
        <v>70</v>
      </c>
      <c r="Y284" t="s">
        <v>3647</v>
      </c>
      <c r="Z284" t="s">
        <v>203</v>
      </c>
      <c r="AA284" t="s">
        <v>112</v>
      </c>
      <c r="AB284" t="s">
        <v>77</v>
      </c>
      <c r="AC284" t="s">
        <v>373</v>
      </c>
      <c r="AD284" t="s">
        <v>141</v>
      </c>
      <c r="AE284" t="s">
        <v>587</v>
      </c>
      <c r="AF284" t="s">
        <v>77</v>
      </c>
      <c r="AG284" t="s">
        <v>873</v>
      </c>
      <c r="AH284" t="s">
        <v>3648</v>
      </c>
      <c r="AI284" t="s">
        <v>73</v>
      </c>
      <c r="AJ284" t="s">
        <v>65</v>
      </c>
      <c r="AK284" t="s">
        <v>1012</v>
      </c>
      <c r="AL284" t="s">
        <v>1622</v>
      </c>
      <c r="AM284" t="s">
        <v>76</v>
      </c>
      <c r="AR284" t="s">
        <v>77</v>
      </c>
      <c r="AS284" t="s">
        <v>873</v>
      </c>
      <c r="AT284" t="s">
        <v>3648</v>
      </c>
      <c r="AU284" t="s">
        <v>83</v>
      </c>
      <c r="AV284" t="s">
        <v>3649</v>
      </c>
      <c r="AW284" t="str">
        <f>"3416740"</f>
        <v>3416740</v>
      </c>
    </row>
    <row r="285" spans="1:49">
      <c r="A285" t="str">
        <f>"13"</f>
        <v>13</v>
      </c>
      <c r="B285" t="s">
        <v>3145</v>
      </c>
      <c r="C285" t="str">
        <f>"5630"</f>
        <v>5630</v>
      </c>
      <c r="D285" t="s">
        <v>3650</v>
      </c>
      <c r="F285" t="s">
        <v>77</v>
      </c>
      <c r="G285" t="s">
        <v>3651</v>
      </c>
      <c r="H285" t="s">
        <v>3652</v>
      </c>
      <c r="I285" t="s">
        <v>89</v>
      </c>
      <c r="J285" s="2" t="s">
        <v>3653</v>
      </c>
      <c r="K285" t="s">
        <v>3654</v>
      </c>
      <c r="L285" t="s">
        <v>60</v>
      </c>
      <c r="M285" t="s">
        <v>3488</v>
      </c>
      <c r="N285" t="s">
        <v>62</v>
      </c>
      <c r="O285" t="str">
        <f>"07006"</f>
        <v>07006</v>
      </c>
      <c r="P285" t="s">
        <v>3654</v>
      </c>
      <c r="S285" t="s">
        <v>3488</v>
      </c>
      <c r="T285" t="s">
        <v>62</v>
      </c>
      <c r="U285" t="str">
        <f>"07006"</f>
        <v>07006</v>
      </c>
      <c r="W285" t="s">
        <v>3655</v>
      </c>
      <c r="X285" t="s">
        <v>70</v>
      </c>
      <c r="Y285" t="s">
        <v>716</v>
      </c>
      <c r="Z285" t="s">
        <v>3656</v>
      </c>
      <c r="AA285" t="s">
        <v>135</v>
      </c>
      <c r="AB285" t="s">
        <v>70</v>
      </c>
      <c r="AC285" t="s">
        <v>3657</v>
      </c>
      <c r="AD285" t="s">
        <v>3658</v>
      </c>
      <c r="AE285" t="s">
        <v>115</v>
      </c>
      <c r="AF285" t="s">
        <v>70</v>
      </c>
      <c r="AG285" t="s">
        <v>3659</v>
      </c>
      <c r="AH285" t="s">
        <v>3660</v>
      </c>
      <c r="AI285" t="s">
        <v>73</v>
      </c>
      <c r="AJ285" t="s">
        <v>77</v>
      </c>
      <c r="AK285" t="s">
        <v>357</v>
      </c>
      <c r="AL285" t="s">
        <v>1866</v>
      </c>
      <c r="AM285" t="s">
        <v>76</v>
      </c>
      <c r="AR285" t="s">
        <v>54</v>
      </c>
      <c r="AS285" t="s">
        <v>3661</v>
      </c>
      <c r="AT285" t="s">
        <v>3662</v>
      </c>
      <c r="AU285" t="s">
        <v>83</v>
      </c>
      <c r="AV285" t="s">
        <v>3663</v>
      </c>
      <c r="AW285" t="str">
        <f>"3417460"</f>
        <v>3417460</v>
      </c>
    </row>
    <row r="286" spans="1:49">
      <c r="A286" t="str">
        <f>"13"</f>
        <v>13</v>
      </c>
      <c r="B286" t="s">
        <v>3145</v>
      </c>
      <c r="C286" t="str">
        <f>"5680"</f>
        <v>5680</v>
      </c>
      <c r="D286" t="s">
        <v>3664</v>
      </c>
      <c r="F286" t="s">
        <v>65</v>
      </c>
      <c r="G286" t="s">
        <v>436</v>
      </c>
      <c r="H286" t="s">
        <v>3665</v>
      </c>
      <c r="I286" t="s">
        <v>57</v>
      </c>
      <c r="J286" s="2" t="s">
        <v>3666</v>
      </c>
      <c r="K286" t="s">
        <v>3667</v>
      </c>
      <c r="L286" t="s">
        <v>60</v>
      </c>
      <c r="M286" t="s">
        <v>3668</v>
      </c>
      <c r="N286" t="s">
        <v>62</v>
      </c>
      <c r="O286" t="str">
        <f>"07052"</f>
        <v>07052</v>
      </c>
      <c r="P286" t="s">
        <v>3667</v>
      </c>
      <c r="S286" t="s">
        <v>3668</v>
      </c>
      <c r="T286" t="s">
        <v>62</v>
      </c>
      <c r="U286" t="str">
        <f>"07052"</f>
        <v>07052</v>
      </c>
      <c r="W286" t="s">
        <v>3669</v>
      </c>
      <c r="X286" t="s">
        <v>70</v>
      </c>
      <c r="Y286" t="s">
        <v>3253</v>
      </c>
      <c r="Z286" t="s">
        <v>3670</v>
      </c>
      <c r="AA286" t="s">
        <v>135</v>
      </c>
      <c r="AB286" t="s">
        <v>70</v>
      </c>
      <c r="AC286" t="s">
        <v>1246</v>
      </c>
      <c r="AD286" t="s">
        <v>3671</v>
      </c>
      <c r="AE286" t="s">
        <v>98</v>
      </c>
      <c r="AF286" t="s">
        <v>70</v>
      </c>
      <c r="AG286" t="s">
        <v>849</v>
      </c>
      <c r="AH286" t="s">
        <v>1863</v>
      </c>
      <c r="AI286" t="s">
        <v>73</v>
      </c>
      <c r="AJ286" t="s">
        <v>54</v>
      </c>
      <c r="AK286" t="s">
        <v>1164</v>
      </c>
      <c r="AL286" t="s">
        <v>3672</v>
      </c>
      <c r="AM286" t="s">
        <v>76</v>
      </c>
      <c r="AN286" t="s">
        <v>77</v>
      </c>
      <c r="AO286" t="s">
        <v>3673</v>
      </c>
      <c r="AP286" t="s">
        <v>3674</v>
      </c>
      <c r="AQ286" t="s">
        <v>80</v>
      </c>
      <c r="AR286" t="s">
        <v>77</v>
      </c>
      <c r="AS286" t="s">
        <v>120</v>
      </c>
      <c r="AT286" t="s">
        <v>3675</v>
      </c>
      <c r="AU286" t="s">
        <v>83</v>
      </c>
      <c r="AV286" t="s">
        <v>3676</v>
      </c>
      <c r="AW286" t="str">
        <f>"3417610"</f>
        <v>3417610</v>
      </c>
    </row>
    <row r="287" spans="1:49">
      <c r="A287" t="str">
        <f t="shared" ref="A287:A315" si="13">"15"</f>
        <v>15</v>
      </c>
      <c r="B287" t="s">
        <v>3677</v>
      </c>
      <c r="C287" t="str">
        <f>"0860"</f>
        <v>0860</v>
      </c>
      <c r="D287" t="s">
        <v>3678</v>
      </c>
      <c r="F287" t="s">
        <v>77</v>
      </c>
      <c r="G287" t="s">
        <v>3679</v>
      </c>
      <c r="H287" t="s">
        <v>3680</v>
      </c>
      <c r="I287" t="s">
        <v>89</v>
      </c>
      <c r="J287" s="2" t="s">
        <v>3681</v>
      </c>
      <c r="K287" t="s">
        <v>3682</v>
      </c>
      <c r="L287" t="s">
        <v>60</v>
      </c>
      <c r="M287" t="s">
        <v>3032</v>
      </c>
      <c r="N287" t="s">
        <v>62</v>
      </c>
      <c r="O287" t="s">
        <v>3683</v>
      </c>
      <c r="P287" t="s">
        <v>3682</v>
      </c>
      <c r="S287" t="s">
        <v>3032</v>
      </c>
      <c r="T287" t="s">
        <v>62</v>
      </c>
      <c r="U287" t="str">
        <f>"08312"</f>
        <v>08312</v>
      </c>
      <c r="V287" t="str">
        <f>"1700"</f>
        <v>1700</v>
      </c>
      <c r="W287" t="s">
        <v>3684</v>
      </c>
      <c r="X287" t="s">
        <v>54</v>
      </c>
      <c r="Y287" t="s">
        <v>3685</v>
      </c>
      <c r="Z287" t="s">
        <v>3686</v>
      </c>
      <c r="AA287" t="s">
        <v>135</v>
      </c>
      <c r="AB287" t="s">
        <v>77</v>
      </c>
      <c r="AC287" t="s">
        <v>3427</v>
      </c>
      <c r="AD287" t="s">
        <v>3687</v>
      </c>
      <c r="AE287" t="s">
        <v>69</v>
      </c>
      <c r="AF287" t="s">
        <v>77</v>
      </c>
      <c r="AG287" t="s">
        <v>358</v>
      </c>
      <c r="AH287" t="s">
        <v>2300</v>
      </c>
      <c r="AI287" t="s">
        <v>73</v>
      </c>
      <c r="AJ287" t="s">
        <v>77</v>
      </c>
      <c r="AK287" t="s">
        <v>358</v>
      </c>
      <c r="AL287" t="s">
        <v>2300</v>
      </c>
      <c r="AM287" t="s">
        <v>76</v>
      </c>
      <c r="AN287" t="s">
        <v>77</v>
      </c>
      <c r="AO287" t="s">
        <v>539</v>
      </c>
      <c r="AP287" t="s">
        <v>3688</v>
      </c>
      <c r="AQ287" t="s">
        <v>80</v>
      </c>
      <c r="AR287" t="s">
        <v>77</v>
      </c>
      <c r="AS287" t="s">
        <v>281</v>
      </c>
      <c r="AT287" t="s">
        <v>3689</v>
      </c>
      <c r="AU287" t="s">
        <v>83</v>
      </c>
      <c r="AV287" t="s">
        <v>3690</v>
      </c>
      <c r="AW287" t="str">
        <f>"3403180"</f>
        <v>3403180</v>
      </c>
    </row>
    <row r="288" spans="1:49">
      <c r="A288" t="str">
        <f t="shared" si="13"/>
        <v>15</v>
      </c>
      <c r="B288" t="s">
        <v>3677</v>
      </c>
      <c r="C288" t="str">
        <f>"0870"</f>
        <v>0870</v>
      </c>
      <c r="D288" t="s">
        <v>3691</v>
      </c>
      <c r="F288" t="s">
        <v>77</v>
      </c>
      <c r="G288" t="s">
        <v>328</v>
      </c>
      <c r="H288" t="s">
        <v>3692</v>
      </c>
      <c r="I288" t="s">
        <v>89</v>
      </c>
      <c r="J288" s="2" t="s">
        <v>3693</v>
      </c>
      <c r="K288" t="s">
        <v>3694</v>
      </c>
      <c r="L288" t="s">
        <v>60</v>
      </c>
      <c r="M288" t="s">
        <v>3695</v>
      </c>
      <c r="N288" t="s">
        <v>62</v>
      </c>
      <c r="O288" t="str">
        <f>"08062"</f>
        <v>08062</v>
      </c>
      <c r="P288" t="s">
        <v>3694</v>
      </c>
      <c r="S288" t="s">
        <v>3695</v>
      </c>
      <c r="T288" t="s">
        <v>62</v>
      </c>
      <c r="U288" t="str">
        <f>"08062"</f>
        <v>08062</v>
      </c>
      <c r="W288" t="s">
        <v>3696</v>
      </c>
      <c r="X288" t="s">
        <v>54</v>
      </c>
      <c r="Y288" t="s">
        <v>3697</v>
      </c>
      <c r="Z288" t="s">
        <v>3698</v>
      </c>
      <c r="AA288" t="s">
        <v>68</v>
      </c>
      <c r="AB288" t="s">
        <v>77</v>
      </c>
      <c r="AC288" t="s">
        <v>3699</v>
      </c>
      <c r="AD288" t="s">
        <v>3700</v>
      </c>
      <c r="AE288" t="s">
        <v>98</v>
      </c>
      <c r="AF288" t="s">
        <v>77</v>
      </c>
      <c r="AG288" t="s">
        <v>3701</v>
      </c>
      <c r="AH288" t="s">
        <v>3702</v>
      </c>
      <c r="AI288" t="s">
        <v>73</v>
      </c>
      <c r="AJ288" t="s">
        <v>54</v>
      </c>
      <c r="AK288" t="s">
        <v>3703</v>
      </c>
      <c r="AL288" t="s">
        <v>3704</v>
      </c>
      <c r="AM288" t="s">
        <v>76</v>
      </c>
      <c r="AN288" t="s">
        <v>77</v>
      </c>
      <c r="AO288" t="s">
        <v>367</v>
      </c>
      <c r="AP288" t="s">
        <v>3705</v>
      </c>
      <c r="AQ288" t="s">
        <v>80</v>
      </c>
      <c r="AR288" t="s">
        <v>77</v>
      </c>
      <c r="AS288" t="s">
        <v>328</v>
      </c>
      <c r="AT288" t="s">
        <v>3692</v>
      </c>
      <c r="AU288" t="s">
        <v>83</v>
      </c>
      <c r="AV288" t="s">
        <v>3706</v>
      </c>
      <c r="AW288" t="str">
        <f>"3403210"</f>
        <v>3403210</v>
      </c>
    </row>
    <row r="289" spans="1:49">
      <c r="A289" t="str">
        <f t="shared" si="13"/>
        <v>15</v>
      </c>
      <c r="B289" t="s">
        <v>3677</v>
      </c>
      <c r="C289" t="str">
        <f>"4940"</f>
        <v>4940</v>
      </c>
      <c r="D289" t="s">
        <v>3707</v>
      </c>
      <c r="F289" t="s">
        <v>65</v>
      </c>
      <c r="G289" t="s">
        <v>3708</v>
      </c>
      <c r="H289" t="s">
        <v>3709</v>
      </c>
      <c r="I289" t="s">
        <v>89</v>
      </c>
      <c r="J289" s="2" t="s">
        <v>3710</v>
      </c>
      <c r="K289" t="s">
        <v>3711</v>
      </c>
      <c r="L289" t="s">
        <v>60</v>
      </c>
      <c r="M289" t="s">
        <v>3712</v>
      </c>
      <c r="N289" t="s">
        <v>62</v>
      </c>
      <c r="O289" t="str">
        <f>"08322"</f>
        <v>08322</v>
      </c>
      <c r="P289" t="s">
        <v>3711</v>
      </c>
      <c r="S289" t="s">
        <v>3712</v>
      </c>
      <c r="T289" t="s">
        <v>62</v>
      </c>
      <c r="U289" t="str">
        <f>"08322"</f>
        <v>08322</v>
      </c>
      <c r="W289" t="s">
        <v>3713</v>
      </c>
      <c r="X289" t="s">
        <v>77</v>
      </c>
      <c r="Y289" t="s">
        <v>358</v>
      </c>
      <c r="Z289" t="s">
        <v>1853</v>
      </c>
      <c r="AA289" t="s">
        <v>112</v>
      </c>
      <c r="AB289" t="s">
        <v>54</v>
      </c>
      <c r="AC289" t="s">
        <v>3286</v>
      </c>
      <c r="AD289" t="s">
        <v>3714</v>
      </c>
      <c r="AE289" t="s">
        <v>433</v>
      </c>
      <c r="AF289" t="s">
        <v>77</v>
      </c>
      <c r="AG289" t="s">
        <v>120</v>
      </c>
      <c r="AH289" t="s">
        <v>3715</v>
      </c>
      <c r="AI289" t="s">
        <v>73</v>
      </c>
      <c r="AJ289" t="s">
        <v>54</v>
      </c>
      <c r="AK289" t="s">
        <v>716</v>
      </c>
      <c r="AL289" t="s">
        <v>3716</v>
      </c>
      <c r="AM289" t="s">
        <v>76</v>
      </c>
      <c r="AN289" t="s">
        <v>77</v>
      </c>
      <c r="AO289" t="s">
        <v>357</v>
      </c>
      <c r="AP289" t="s">
        <v>1736</v>
      </c>
      <c r="AQ289" t="s">
        <v>80</v>
      </c>
      <c r="AR289" t="s">
        <v>77</v>
      </c>
      <c r="AS289" t="s">
        <v>120</v>
      </c>
      <c r="AT289" t="s">
        <v>3715</v>
      </c>
      <c r="AU289" t="s">
        <v>83</v>
      </c>
      <c r="AV289" t="s">
        <v>3717</v>
      </c>
      <c r="AW289" t="str">
        <f>"3415450"</f>
        <v>3415450</v>
      </c>
    </row>
    <row r="290" spans="1:49">
      <c r="A290" t="str">
        <f t="shared" si="13"/>
        <v>15</v>
      </c>
      <c r="B290" t="s">
        <v>3677</v>
      </c>
      <c r="C290" t="str">
        <f>"1100"</f>
        <v>1100</v>
      </c>
      <c r="D290" t="s">
        <v>3718</v>
      </c>
      <c r="F290" t="s">
        <v>77</v>
      </c>
      <c r="G290" t="s">
        <v>3719</v>
      </c>
      <c r="H290" t="s">
        <v>3720</v>
      </c>
      <c r="I290" t="s">
        <v>89</v>
      </c>
      <c r="J290" s="2" t="s">
        <v>3721</v>
      </c>
      <c r="K290" t="s">
        <v>3722</v>
      </c>
      <c r="L290" t="s">
        <v>60</v>
      </c>
      <c r="M290" t="s">
        <v>3723</v>
      </c>
      <c r="N290" t="s">
        <v>62</v>
      </c>
      <c r="O290" t="str">
        <f>"08096"</f>
        <v>08096</v>
      </c>
      <c r="P290" t="s">
        <v>3722</v>
      </c>
      <c r="S290" t="s">
        <v>3723</v>
      </c>
      <c r="T290" t="s">
        <v>62</v>
      </c>
      <c r="U290" t="str">
        <f>"08096"</f>
        <v>08096</v>
      </c>
      <c r="W290" t="s">
        <v>3724</v>
      </c>
      <c r="X290" t="s">
        <v>77</v>
      </c>
      <c r="Y290" t="s">
        <v>478</v>
      </c>
      <c r="Z290" t="s">
        <v>3725</v>
      </c>
      <c r="AA290" t="s">
        <v>135</v>
      </c>
      <c r="AB290" t="s">
        <v>77</v>
      </c>
      <c r="AC290" t="s">
        <v>120</v>
      </c>
      <c r="AD290" t="s">
        <v>3726</v>
      </c>
      <c r="AE290" t="s">
        <v>98</v>
      </c>
      <c r="AF290" t="s">
        <v>77</v>
      </c>
      <c r="AG290" t="s">
        <v>120</v>
      </c>
      <c r="AH290" t="s">
        <v>3726</v>
      </c>
      <c r="AI290" t="s">
        <v>73</v>
      </c>
      <c r="AJ290" t="s">
        <v>77</v>
      </c>
      <c r="AK290" t="s">
        <v>367</v>
      </c>
      <c r="AL290" t="s">
        <v>3727</v>
      </c>
      <c r="AM290" t="s">
        <v>76</v>
      </c>
      <c r="AR290" t="s">
        <v>77</v>
      </c>
      <c r="AS290" t="s">
        <v>273</v>
      </c>
      <c r="AT290" t="s">
        <v>3728</v>
      </c>
      <c r="AU290" t="s">
        <v>83</v>
      </c>
      <c r="AV290" t="s">
        <v>3729</v>
      </c>
      <c r="AW290" t="str">
        <f>"3403900"</f>
        <v>3403900</v>
      </c>
    </row>
    <row r="291" spans="1:49">
      <c r="A291" t="str">
        <f t="shared" si="13"/>
        <v>15</v>
      </c>
      <c r="B291" t="s">
        <v>3677</v>
      </c>
      <c r="C291" t="str">
        <f>"1180"</f>
        <v>1180</v>
      </c>
      <c r="D291" t="s">
        <v>3730</v>
      </c>
      <c r="F291" t="s">
        <v>54</v>
      </c>
      <c r="G291" t="s">
        <v>607</v>
      </c>
      <c r="H291" t="s">
        <v>654</v>
      </c>
      <c r="I291" t="s">
        <v>89</v>
      </c>
      <c r="J291" s="2" t="s">
        <v>3731</v>
      </c>
      <c r="K291" t="s">
        <v>3732</v>
      </c>
      <c r="L291" t="s">
        <v>60</v>
      </c>
      <c r="M291" t="s">
        <v>3733</v>
      </c>
      <c r="N291" t="s">
        <v>62</v>
      </c>
      <c r="O291" t="str">
        <f>"08056"</f>
        <v>08056</v>
      </c>
      <c r="P291" t="s">
        <v>3732</v>
      </c>
      <c r="S291" t="s">
        <v>3733</v>
      </c>
      <c r="T291" t="s">
        <v>62</v>
      </c>
      <c r="U291" t="str">
        <f>"08056"</f>
        <v>08056</v>
      </c>
      <c r="W291" t="s">
        <v>3734</v>
      </c>
      <c r="X291" t="s">
        <v>77</v>
      </c>
      <c r="Y291" t="s">
        <v>3427</v>
      </c>
      <c r="Z291" t="s">
        <v>454</v>
      </c>
      <c r="AA291" t="s">
        <v>112</v>
      </c>
      <c r="AB291" t="s">
        <v>54</v>
      </c>
      <c r="AC291" t="s">
        <v>2359</v>
      </c>
      <c r="AD291" t="s">
        <v>3735</v>
      </c>
      <c r="AE291" t="s">
        <v>69</v>
      </c>
      <c r="AF291" t="s">
        <v>70</v>
      </c>
      <c r="AG291" t="s">
        <v>928</v>
      </c>
      <c r="AH291" t="s">
        <v>3736</v>
      </c>
      <c r="AI291" t="s">
        <v>73</v>
      </c>
      <c r="AJ291" t="s">
        <v>54</v>
      </c>
      <c r="AK291" t="s">
        <v>150</v>
      </c>
      <c r="AL291" t="s">
        <v>3737</v>
      </c>
      <c r="AM291" t="s">
        <v>76</v>
      </c>
      <c r="AN291" t="s">
        <v>77</v>
      </c>
      <c r="AO291" t="s">
        <v>3738</v>
      </c>
      <c r="AP291" t="s">
        <v>3739</v>
      </c>
      <c r="AQ291" t="s">
        <v>80</v>
      </c>
      <c r="AR291" t="s">
        <v>70</v>
      </c>
      <c r="AS291" t="s">
        <v>928</v>
      </c>
      <c r="AT291" t="s">
        <v>3736</v>
      </c>
      <c r="AU291" t="s">
        <v>83</v>
      </c>
      <c r="AV291" t="s">
        <v>3740</v>
      </c>
      <c r="AW291" t="str">
        <f>"3404140"</f>
        <v>3404140</v>
      </c>
    </row>
    <row r="292" spans="1:49">
      <c r="A292" t="str">
        <f t="shared" si="13"/>
        <v>15</v>
      </c>
      <c r="B292" t="s">
        <v>3677</v>
      </c>
      <c r="C292" t="str">
        <f>"1330"</f>
        <v>1330</v>
      </c>
      <c r="D292" t="s">
        <v>3741</v>
      </c>
      <c r="F292" t="s">
        <v>65</v>
      </c>
      <c r="G292" t="s">
        <v>3708</v>
      </c>
      <c r="H292" t="s">
        <v>3709</v>
      </c>
      <c r="I292" t="s">
        <v>89</v>
      </c>
      <c r="J292" s="2" t="s">
        <v>3710</v>
      </c>
      <c r="K292" t="s">
        <v>3742</v>
      </c>
      <c r="L292" t="s">
        <v>60</v>
      </c>
      <c r="M292" t="s">
        <v>3743</v>
      </c>
      <c r="N292" t="s">
        <v>62</v>
      </c>
      <c r="O292" t="s">
        <v>3744</v>
      </c>
      <c r="P292" t="s">
        <v>3742</v>
      </c>
      <c r="S292" t="s">
        <v>3743</v>
      </c>
      <c r="T292" t="s">
        <v>62</v>
      </c>
      <c r="U292" t="str">
        <f>"08028"</f>
        <v>08028</v>
      </c>
      <c r="V292" t="str">
        <f>"3518"</f>
        <v>3518</v>
      </c>
      <c r="W292" t="s">
        <v>3745</v>
      </c>
      <c r="X292" t="s">
        <v>77</v>
      </c>
      <c r="Y292" t="s">
        <v>358</v>
      </c>
      <c r="Z292" t="s">
        <v>1853</v>
      </c>
      <c r="AA292" t="s">
        <v>112</v>
      </c>
      <c r="AB292" t="s">
        <v>54</v>
      </c>
      <c r="AC292" t="s">
        <v>3286</v>
      </c>
      <c r="AD292" t="s">
        <v>3714</v>
      </c>
      <c r="AE292" t="s">
        <v>98</v>
      </c>
      <c r="AF292" t="s">
        <v>77</v>
      </c>
      <c r="AG292" t="s">
        <v>3746</v>
      </c>
      <c r="AH292" t="s">
        <v>3747</v>
      </c>
      <c r="AI292" t="s">
        <v>73</v>
      </c>
      <c r="AJ292" t="s">
        <v>70</v>
      </c>
      <c r="AK292" t="s">
        <v>864</v>
      </c>
      <c r="AL292" t="s">
        <v>3748</v>
      </c>
      <c r="AM292" t="s">
        <v>76</v>
      </c>
      <c r="AN292" t="s">
        <v>77</v>
      </c>
      <c r="AO292" t="s">
        <v>357</v>
      </c>
      <c r="AP292" t="s">
        <v>1736</v>
      </c>
      <c r="AQ292" t="s">
        <v>80</v>
      </c>
      <c r="AR292" t="s">
        <v>77</v>
      </c>
      <c r="AS292" t="s">
        <v>3746</v>
      </c>
      <c r="AT292" t="s">
        <v>3747</v>
      </c>
      <c r="AU292" t="s">
        <v>83</v>
      </c>
      <c r="AV292" t="s">
        <v>3749</v>
      </c>
      <c r="AW292" t="str">
        <f>"3404620"</f>
        <v>3404620</v>
      </c>
    </row>
    <row r="293" spans="1:49">
      <c r="A293" t="str">
        <f t="shared" si="13"/>
        <v>15</v>
      </c>
      <c r="B293" t="s">
        <v>3677</v>
      </c>
      <c r="C293" t="str">
        <f>"1715"</f>
        <v>1715</v>
      </c>
      <c r="D293" t="s">
        <v>3750</v>
      </c>
      <c r="F293" t="s">
        <v>65</v>
      </c>
      <c r="G293" t="s">
        <v>1272</v>
      </c>
      <c r="H293" t="s">
        <v>3751</v>
      </c>
      <c r="I293" t="s">
        <v>89</v>
      </c>
      <c r="J293" s="2" t="s">
        <v>3752</v>
      </c>
      <c r="K293" t="s">
        <v>3753</v>
      </c>
      <c r="L293" t="s">
        <v>60</v>
      </c>
      <c r="M293" t="s">
        <v>3754</v>
      </c>
      <c r="N293" t="s">
        <v>62</v>
      </c>
      <c r="O293" t="str">
        <f>"08096"</f>
        <v>08096</v>
      </c>
      <c r="P293" t="s">
        <v>3753</v>
      </c>
      <c r="S293" t="s">
        <v>3754</v>
      </c>
      <c r="T293" t="s">
        <v>62</v>
      </c>
      <c r="U293" t="str">
        <f>"08096"</f>
        <v>08096</v>
      </c>
      <c r="W293" t="s">
        <v>3755</v>
      </c>
      <c r="X293" t="s">
        <v>54</v>
      </c>
      <c r="Y293" t="s">
        <v>1346</v>
      </c>
      <c r="Z293" t="s">
        <v>3756</v>
      </c>
      <c r="AA293" t="s">
        <v>112</v>
      </c>
      <c r="AB293" t="s">
        <v>54</v>
      </c>
      <c r="AC293" t="s">
        <v>3757</v>
      </c>
      <c r="AD293" t="s">
        <v>2461</v>
      </c>
      <c r="AE293" t="s">
        <v>98</v>
      </c>
      <c r="AF293" t="s">
        <v>77</v>
      </c>
      <c r="AG293" t="s">
        <v>677</v>
      </c>
      <c r="AH293" t="s">
        <v>3758</v>
      </c>
      <c r="AI293" t="s">
        <v>73</v>
      </c>
      <c r="AJ293" t="s">
        <v>54</v>
      </c>
      <c r="AK293" t="s">
        <v>2012</v>
      </c>
      <c r="AL293" t="s">
        <v>3759</v>
      </c>
      <c r="AM293" t="s">
        <v>76</v>
      </c>
      <c r="AN293" t="s">
        <v>77</v>
      </c>
      <c r="AO293" t="s">
        <v>2230</v>
      </c>
      <c r="AP293" t="s">
        <v>2300</v>
      </c>
      <c r="AQ293" t="s">
        <v>80</v>
      </c>
      <c r="AR293" t="s">
        <v>77</v>
      </c>
      <c r="AS293" t="s">
        <v>677</v>
      </c>
      <c r="AT293" t="s">
        <v>3758</v>
      </c>
      <c r="AU293" t="s">
        <v>83</v>
      </c>
      <c r="AV293" t="s">
        <v>3760</v>
      </c>
      <c r="AW293" t="str">
        <f>"3405820"</f>
        <v>3405820</v>
      </c>
    </row>
    <row r="294" spans="1:49">
      <c r="A294" t="str">
        <f t="shared" si="13"/>
        <v>15</v>
      </c>
      <c r="B294" t="s">
        <v>3677</v>
      </c>
      <c r="C294" t="str">
        <f>"1730"</f>
        <v>1730</v>
      </c>
      <c r="D294" t="s">
        <v>3761</v>
      </c>
      <c r="F294" t="s">
        <v>65</v>
      </c>
      <c r="G294" t="s">
        <v>404</v>
      </c>
      <c r="H294" t="s">
        <v>3762</v>
      </c>
      <c r="I294" t="s">
        <v>89</v>
      </c>
      <c r="J294" s="2" t="s">
        <v>3763</v>
      </c>
      <c r="K294" t="s">
        <v>3764</v>
      </c>
      <c r="L294" t="s">
        <v>60</v>
      </c>
      <c r="M294" t="s">
        <v>3743</v>
      </c>
      <c r="N294" t="s">
        <v>62</v>
      </c>
      <c r="O294" t="str">
        <f>"08028"</f>
        <v>08028</v>
      </c>
      <c r="P294" t="s">
        <v>3764</v>
      </c>
      <c r="S294" t="s">
        <v>3743</v>
      </c>
      <c r="T294" t="s">
        <v>62</v>
      </c>
      <c r="U294" t="str">
        <f>"08028"</f>
        <v>08028</v>
      </c>
      <c r="W294" t="s">
        <v>3765</v>
      </c>
      <c r="X294" t="s">
        <v>70</v>
      </c>
      <c r="Y294" t="s">
        <v>150</v>
      </c>
      <c r="Z294" t="s">
        <v>3766</v>
      </c>
      <c r="AA294" t="s">
        <v>112</v>
      </c>
      <c r="AB294" t="s">
        <v>54</v>
      </c>
      <c r="AC294" t="s">
        <v>3767</v>
      </c>
      <c r="AD294" t="s">
        <v>2895</v>
      </c>
      <c r="AE294" t="s">
        <v>98</v>
      </c>
      <c r="AG294" t="s">
        <v>873</v>
      </c>
      <c r="AH294" t="s">
        <v>3768</v>
      </c>
      <c r="AI294" t="s">
        <v>73</v>
      </c>
      <c r="AJ294" t="s">
        <v>54</v>
      </c>
      <c r="AK294" t="s">
        <v>3769</v>
      </c>
      <c r="AL294" t="s">
        <v>608</v>
      </c>
      <c r="AM294" t="s">
        <v>76</v>
      </c>
      <c r="AR294" t="s">
        <v>77</v>
      </c>
      <c r="AS294" t="s">
        <v>1128</v>
      </c>
      <c r="AT294" t="s">
        <v>3500</v>
      </c>
      <c r="AU294" t="s">
        <v>83</v>
      </c>
      <c r="AV294" t="s">
        <v>3770</v>
      </c>
      <c r="AW294" t="str">
        <f>"3405880"</f>
        <v>3405880</v>
      </c>
    </row>
    <row r="295" spans="1:49">
      <c r="A295" t="str">
        <f t="shared" si="13"/>
        <v>15</v>
      </c>
      <c r="B295" t="s">
        <v>3677</v>
      </c>
      <c r="C295" t="str">
        <f>"1774"</f>
        <v>1774</v>
      </c>
      <c r="D295" t="s">
        <v>3771</v>
      </c>
      <c r="F295" t="s">
        <v>77</v>
      </c>
      <c r="G295" t="s">
        <v>120</v>
      </c>
      <c r="H295" t="s">
        <v>3772</v>
      </c>
      <c r="I295" t="s">
        <v>89</v>
      </c>
      <c r="J295" s="2" t="s">
        <v>3773</v>
      </c>
      <c r="K295" t="s">
        <v>3774</v>
      </c>
      <c r="L295" t="s">
        <v>60</v>
      </c>
      <c r="M295" t="s">
        <v>3775</v>
      </c>
      <c r="N295" t="s">
        <v>62</v>
      </c>
      <c r="O295" t="str">
        <f>"08080"</f>
        <v>08080</v>
      </c>
      <c r="P295" t="s">
        <v>3774</v>
      </c>
      <c r="S295" t="s">
        <v>3775</v>
      </c>
      <c r="T295" t="s">
        <v>62</v>
      </c>
      <c r="U295" t="str">
        <f>"08080"</f>
        <v>08080</v>
      </c>
      <c r="W295" t="s">
        <v>3776</v>
      </c>
      <c r="X295" t="s">
        <v>54</v>
      </c>
      <c r="Y295" t="s">
        <v>2012</v>
      </c>
      <c r="Z295" t="s">
        <v>3777</v>
      </c>
      <c r="AA295" t="s">
        <v>135</v>
      </c>
      <c r="AB295" t="s">
        <v>77</v>
      </c>
      <c r="AC295" t="s">
        <v>844</v>
      </c>
      <c r="AD295" t="s">
        <v>3778</v>
      </c>
      <c r="AE295" t="s">
        <v>98</v>
      </c>
      <c r="AF295" t="s">
        <v>65</v>
      </c>
      <c r="AG295" t="s">
        <v>541</v>
      </c>
      <c r="AH295" t="s">
        <v>3779</v>
      </c>
      <c r="AI295" t="s">
        <v>73</v>
      </c>
      <c r="AJ295" t="s">
        <v>70</v>
      </c>
      <c r="AK295" t="s">
        <v>3780</v>
      </c>
      <c r="AL295" t="s">
        <v>3781</v>
      </c>
      <c r="AM295" t="s">
        <v>76</v>
      </c>
      <c r="AR295" t="s">
        <v>77</v>
      </c>
      <c r="AS295" t="s">
        <v>319</v>
      </c>
      <c r="AT295" t="s">
        <v>3782</v>
      </c>
      <c r="AU295" t="s">
        <v>83</v>
      </c>
      <c r="AV295" t="s">
        <v>3783</v>
      </c>
      <c r="AW295" t="str">
        <f>"3480363"</f>
        <v>3480363</v>
      </c>
    </row>
    <row r="296" spans="1:49">
      <c r="A296" t="str">
        <f t="shared" si="13"/>
        <v>15</v>
      </c>
      <c r="B296" t="s">
        <v>3677</v>
      </c>
      <c r="C296" t="str">
        <f>"1775"</f>
        <v>1775</v>
      </c>
      <c r="D296" t="s">
        <v>3784</v>
      </c>
      <c r="F296" t="s">
        <v>77</v>
      </c>
      <c r="G296" t="s">
        <v>120</v>
      </c>
      <c r="H296" t="s">
        <v>3772</v>
      </c>
      <c r="I296" t="s">
        <v>89</v>
      </c>
      <c r="J296" s="2" t="s">
        <v>3773</v>
      </c>
      <c r="K296" t="s">
        <v>3785</v>
      </c>
      <c r="L296" t="s">
        <v>60</v>
      </c>
      <c r="M296" t="s">
        <v>3775</v>
      </c>
      <c r="N296" t="s">
        <v>62</v>
      </c>
      <c r="O296" t="str">
        <f>"08080"</f>
        <v>08080</v>
      </c>
      <c r="P296" t="s">
        <v>3785</v>
      </c>
      <c r="S296" t="s">
        <v>3775</v>
      </c>
      <c r="T296" t="s">
        <v>62</v>
      </c>
      <c r="U296" t="str">
        <f>"08080"</f>
        <v>08080</v>
      </c>
      <c r="W296" t="s">
        <v>3776</v>
      </c>
      <c r="X296" t="s">
        <v>54</v>
      </c>
      <c r="Y296" t="s">
        <v>2012</v>
      </c>
      <c r="Z296" t="s">
        <v>3777</v>
      </c>
      <c r="AA296" t="s">
        <v>135</v>
      </c>
      <c r="AB296" t="s">
        <v>65</v>
      </c>
      <c r="AC296" t="s">
        <v>541</v>
      </c>
      <c r="AD296" t="s">
        <v>3779</v>
      </c>
      <c r="AE296" t="s">
        <v>415</v>
      </c>
      <c r="AF296" t="s">
        <v>65</v>
      </c>
      <c r="AG296" t="s">
        <v>541</v>
      </c>
      <c r="AH296" t="s">
        <v>3779</v>
      </c>
      <c r="AI296" t="s">
        <v>73</v>
      </c>
      <c r="AJ296" t="s">
        <v>70</v>
      </c>
      <c r="AK296" t="s">
        <v>3780</v>
      </c>
      <c r="AL296" t="s">
        <v>3781</v>
      </c>
      <c r="AM296" t="s">
        <v>76</v>
      </c>
      <c r="AR296" t="s">
        <v>77</v>
      </c>
      <c r="AS296" t="s">
        <v>1083</v>
      </c>
      <c r="AT296" t="s">
        <v>3786</v>
      </c>
      <c r="AU296" t="s">
        <v>83</v>
      </c>
      <c r="AV296" t="s">
        <v>3787</v>
      </c>
      <c r="AW296" t="str">
        <f>"3406040"</f>
        <v>3406040</v>
      </c>
    </row>
    <row r="297" spans="1:49">
      <c r="A297" t="str">
        <f t="shared" si="13"/>
        <v>15</v>
      </c>
      <c r="B297" t="s">
        <v>3677</v>
      </c>
      <c r="C297" t="str">
        <f>"1830"</f>
        <v>1830</v>
      </c>
      <c r="D297" t="s">
        <v>3034</v>
      </c>
      <c r="F297" t="s">
        <v>65</v>
      </c>
      <c r="G297" t="s">
        <v>155</v>
      </c>
      <c r="H297" t="s">
        <v>3788</v>
      </c>
      <c r="I297" t="s">
        <v>57</v>
      </c>
      <c r="J297" s="2" t="s">
        <v>3789</v>
      </c>
      <c r="K297" t="s">
        <v>3790</v>
      </c>
      <c r="L297" t="s">
        <v>60</v>
      </c>
      <c r="M297" t="s">
        <v>3791</v>
      </c>
      <c r="N297" t="s">
        <v>62</v>
      </c>
      <c r="O297" t="str">
        <f>"08027"</f>
        <v>08027</v>
      </c>
      <c r="P297" t="s">
        <v>3790</v>
      </c>
      <c r="S297" t="s">
        <v>3791</v>
      </c>
      <c r="T297" t="s">
        <v>62</v>
      </c>
      <c r="U297" t="str">
        <f>"08027"</f>
        <v>08027</v>
      </c>
      <c r="W297" t="s">
        <v>3792</v>
      </c>
      <c r="X297" t="s">
        <v>77</v>
      </c>
      <c r="Y297" t="s">
        <v>436</v>
      </c>
      <c r="Z297" t="s">
        <v>3793</v>
      </c>
      <c r="AA297" t="s">
        <v>135</v>
      </c>
      <c r="AB297" t="s">
        <v>77</v>
      </c>
      <c r="AC297" t="s">
        <v>328</v>
      </c>
      <c r="AD297" t="s">
        <v>3794</v>
      </c>
      <c r="AE297" t="s">
        <v>415</v>
      </c>
      <c r="AF297" t="s">
        <v>77</v>
      </c>
      <c r="AG297" t="s">
        <v>87</v>
      </c>
      <c r="AH297" t="s">
        <v>3737</v>
      </c>
      <c r="AI297" t="s">
        <v>73</v>
      </c>
      <c r="AJ297" t="s">
        <v>54</v>
      </c>
      <c r="AK297" t="s">
        <v>3795</v>
      </c>
      <c r="AL297" t="s">
        <v>3796</v>
      </c>
      <c r="AM297" t="s">
        <v>76</v>
      </c>
      <c r="AN297" t="s">
        <v>77</v>
      </c>
      <c r="AO297" t="s">
        <v>120</v>
      </c>
      <c r="AP297" t="s">
        <v>3797</v>
      </c>
      <c r="AQ297" t="s">
        <v>80</v>
      </c>
      <c r="AR297" t="s">
        <v>77</v>
      </c>
      <c r="AS297" t="s">
        <v>328</v>
      </c>
      <c r="AT297" t="s">
        <v>3794</v>
      </c>
      <c r="AU297" t="s">
        <v>83</v>
      </c>
      <c r="AV297" t="s">
        <v>3798</v>
      </c>
      <c r="AW297" t="str">
        <f>"3406180"</f>
        <v>3406180</v>
      </c>
    </row>
    <row r="298" spans="1:49">
      <c r="A298" t="str">
        <f t="shared" si="13"/>
        <v>15</v>
      </c>
      <c r="B298" t="s">
        <v>3677</v>
      </c>
      <c r="C298" t="str">
        <f>"2070"</f>
        <v>2070</v>
      </c>
      <c r="D298" t="s">
        <v>3799</v>
      </c>
      <c r="F298" t="s">
        <v>65</v>
      </c>
      <c r="G298" t="s">
        <v>3800</v>
      </c>
      <c r="H298" t="s">
        <v>3801</v>
      </c>
      <c r="I298" t="s">
        <v>89</v>
      </c>
      <c r="J298" s="2" t="s">
        <v>3802</v>
      </c>
      <c r="K298" t="s">
        <v>3803</v>
      </c>
      <c r="L298" t="s">
        <v>60</v>
      </c>
      <c r="M298" t="s">
        <v>3695</v>
      </c>
      <c r="N298" t="s">
        <v>62</v>
      </c>
      <c r="O298" t="s">
        <v>3804</v>
      </c>
      <c r="P298" t="s">
        <v>3803</v>
      </c>
      <c r="S298" t="s">
        <v>3695</v>
      </c>
      <c r="T298" t="s">
        <v>62</v>
      </c>
      <c r="U298" t="str">
        <f>"08062"</f>
        <v>08062</v>
      </c>
      <c r="V298" t="str">
        <f>"9494"</f>
        <v>9494</v>
      </c>
      <c r="W298" t="s">
        <v>3805</v>
      </c>
      <c r="X298" t="s">
        <v>77</v>
      </c>
      <c r="Y298" t="s">
        <v>873</v>
      </c>
      <c r="Z298" t="s">
        <v>3806</v>
      </c>
      <c r="AA298" t="s">
        <v>112</v>
      </c>
      <c r="AB298" t="s">
        <v>54</v>
      </c>
      <c r="AC298" t="s">
        <v>1666</v>
      </c>
      <c r="AD298" t="s">
        <v>3807</v>
      </c>
      <c r="AE298" t="s">
        <v>587</v>
      </c>
      <c r="AF298" t="s">
        <v>54</v>
      </c>
      <c r="AG298" t="s">
        <v>155</v>
      </c>
      <c r="AH298" t="s">
        <v>3808</v>
      </c>
      <c r="AI298" t="s">
        <v>73</v>
      </c>
      <c r="AJ298" t="s">
        <v>54</v>
      </c>
      <c r="AK298" t="s">
        <v>150</v>
      </c>
      <c r="AL298" t="s">
        <v>3809</v>
      </c>
      <c r="AM298" t="s">
        <v>76</v>
      </c>
      <c r="AN298" t="s">
        <v>77</v>
      </c>
      <c r="AO298" t="s">
        <v>2929</v>
      </c>
      <c r="AP298" t="s">
        <v>3810</v>
      </c>
      <c r="AQ298" t="s">
        <v>80</v>
      </c>
      <c r="AR298" t="s">
        <v>54</v>
      </c>
      <c r="AS298" t="s">
        <v>155</v>
      </c>
      <c r="AT298" t="s">
        <v>3808</v>
      </c>
      <c r="AU298" t="s">
        <v>83</v>
      </c>
      <c r="AV298" t="s">
        <v>3811</v>
      </c>
      <c r="AW298" t="str">
        <f>"3406900"</f>
        <v>3406900</v>
      </c>
    </row>
    <row r="299" spans="1:49">
      <c r="A299" t="str">
        <f t="shared" si="13"/>
        <v>15</v>
      </c>
      <c r="B299" t="s">
        <v>3677</v>
      </c>
      <c r="C299" t="str">
        <f>"2440"</f>
        <v>2440</v>
      </c>
      <c r="D299" t="s">
        <v>3812</v>
      </c>
      <c r="F299" t="s">
        <v>65</v>
      </c>
      <c r="G299" t="s">
        <v>182</v>
      </c>
      <c r="H299" t="s">
        <v>3813</v>
      </c>
      <c r="I299" t="s">
        <v>89</v>
      </c>
      <c r="J299" s="2" t="s">
        <v>3814</v>
      </c>
      <c r="K299" t="s">
        <v>3815</v>
      </c>
      <c r="L299" t="s">
        <v>60</v>
      </c>
      <c r="M299" t="s">
        <v>3816</v>
      </c>
      <c r="N299" t="s">
        <v>62</v>
      </c>
      <c r="O299" t="s">
        <v>3817</v>
      </c>
      <c r="P299" t="s">
        <v>3815</v>
      </c>
      <c r="S299" t="s">
        <v>3816</v>
      </c>
      <c r="T299" t="s">
        <v>62</v>
      </c>
      <c r="U299" t="str">
        <f>"08085"</f>
        <v>08085</v>
      </c>
      <c r="V299" t="str">
        <f>"5041"</f>
        <v>5041</v>
      </c>
      <c r="W299" t="s">
        <v>3818</v>
      </c>
      <c r="X299" t="s">
        <v>77</v>
      </c>
      <c r="Y299" t="s">
        <v>243</v>
      </c>
      <c r="Z299" t="s">
        <v>3819</v>
      </c>
      <c r="AA299" t="s">
        <v>112</v>
      </c>
      <c r="AB299" t="s">
        <v>65</v>
      </c>
      <c r="AC299" t="s">
        <v>3820</v>
      </c>
      <c r="AD299" t="s">
        <v>3821</v>
      </c>
      <c r="AE299" t="s">
        <v>69</v>
      </c>
      <c r="AF299" t="s">
        <v>65</v>
      </c>
      <c r="AG299" t="s">
        <v>3820</v>
      </c>
      <c r="AH299" t="s">
        <v>3821</v>
      </c>
      <c r="AI299" t="s">
        <v>73</v>
      </c>
      <c r="AJ299" t="s">
        <v>77</v>
      </c>
      <c r="AK299" t="s">
        <v>418</v>
      </c>
      <c r="AL299" t="s">
        <v>3822</v>
      </c>
      <c r="AM299" t="s">
        <v>76</v>
      </c>
      <c r="AN299" t="s">
        <v>77</v>
      </c>
      <c r="AO299" t="s">
        <v>873</v>
      </c>
      <c r="AP299" t="s">
        <v>3823</v>
      </c>
      <c r="AQ299" t="s">
        <v>80</v>
      </c>
      <c r="AR299" t="s">
        <v>77</v>
      </c>
      <c r="AS299" t="s">
        <v>3824</v>
      </c>
      <c r="AT299" t="s">
        <v>3825</v>
      </c>
      <c r="AU299" t="s">
        <v>83</v>
      </c>
      <c r="AV299" t="s">
        <v>3826</v>
      </c>
      <c r="AW299" t="str">
        <f>"3407980"</f>
        <v>3407980</v>
      </c>
    </row>
    <row r="300" spans="1:49">
      <c r="A300" t="str">
        <f t="shared" si="13"/>
        <v>15</v>
      </c>
      <c r="B300" t="s">
        <v>3677</v>
      </c>
      <c r="C300" t="str">
        <f>"2750"</f>
        <v>2750</v>
      </c>
      <c r="D300" t="s">
        <v>3827</v>
      </c>
      <c r="F300" t="s">
        <v>54</v>
      </c>
      <c r="G300" t="s">
        <v>233</v>
      </c>
      <c r="H300" t="s">
        <v>3828</v>
      </c>
      <c r="I300" t="s">
        <v>89</v>
      </c>
      <c r="J300" s="2" t="s">
        <v>3829</v>
      </c>
      <c r="K300" t="s">
        <v>3830</v>
      </c>
      <c r="L300" t="s">
        <v>60</v>
      </c>
      <c r="M300" t="s">
        <v>3831</v>
      </c>
      <c r="N300" t="s">
        <v>62</v>
      </c>
      <c r="O300" t="str">
        <f>"08085"</f>
        <v>08085</v>
      </c>
      <c r="P300" t="s">
        <v>3830</v>
      </c>
      <c r="S300" t="s">
        <v>3831</v>
      </c>
      <c r="T300" t="s">
        <v>62</v>
      </c>
      <c r="U300" t="str">
        <f>"08085"</f>
        <v>08085</v>
      </c>
      <c r="W300" t="s">
        <v>3832</v>
      </c>
      <c r="X300" t="s">
        <v>54</v>
      </c>
      <c r="Y300" t="s">
        <v>2480</v>
      </c>
      <c r="Z300" t="s">
        <v>1753</v>
      </c>
      <c r="AA300" t="s">
        <v>112</v>
      </c>
      <c r="AB300" t="s">
        <v>54</v>
      </c>
      <c r="AC300" t="s">
        <v>932</v>
      </c>
      <c r="AD300" t="s">
        <v>161</v>
      </c>
      <c r="AE300" t="s">
        <v>913</v>
      </c>
      <c r="AF300" t="s">
        <v>54</v>
      </c>
      <c r="AG300" t="s">
        <v>1688</v>
      </c>
      <c r="AH300" t="s">
        <v>2461</v>
      </c>
      <c r="AI300" t="s">
        <v>73</v>
      </c>
      <c r="AJ300" t="s">
        <v>54</v>
      </c>
      <c r="AK300" t="s">
        <v>553</v>
      </c>
      <c r="AL300" t="s">
        <v>649</v>
      </c>
      <c r="AM300" t="s">
        <v>76</v>
      </c>
      <c r="AN300" t="s">
        <v>77</v>
      </c>
      <c r="AO300" t="s">
        <v>873</v>
      </c>
      <c r="AP300" t="s">
        <v>3833</v>
      </c>
      <c r="AQ300" t="s">
        <v>80</v>
      </c>
      <c r="AR300" t="s">
        <v>54</v>
      </c>
      <c r="AS300" t="s">
        <v>233</v>
      </c>
      <c r="AT300" t="s">
        <v>3828</v>
      </c>
      <c r="AU300" t="s">
        <v>83</v>
      </c>
      <c r="AV300" t="s">
        <v>3834</v>
      </c>
      <c r="AW300" t="str">
        <f>"3408880"</f>
        <v>3408880</v>
      </c>
    </row>
    <row r="301" spans="1:49">
      <c r="A301" t="str">
        <f t="shared" si="13"/>
        <v>15</v>
      </c>
      <c r="B301" t="s">
        <v>3677</v>
      </c>
      <c r="C301" t="str">
        <f>"2990"</f>
        <v>2990</v>
      </c>
      <c r="D301" t="s">
        <v>3835</v>
      </c>
      <c r="F301" t="s">
        <v>77</v>
      </c>
      <c r="G301" t="s">
        <v>873</v>
      </c>
      <c r="H301" t="s">
        <v>2936</v>
      </c>
      <c r="I301" t="s">
        <v>89</v>
      </c>
      <c r="J301" s="2" t="s">
        <v>3836</v>
      </c>
      <c r="K301" t="s">
        <v>3837</v>
      </c>
      <c r="L301" t="s">
        <v>60</v>
      </c>
      <c r="M301" t="s">
        <v>3775</v>
      </c>
      <c r="N301" t="s">
        <v>62</v>
      </c>
      <c r="O301" t="str">
        <f>"08080"</f>
        <v>08080</v>
      </c>
      <c r="P301" t="s">
        <v>3837</v>
      </c>
      <c r="S301" t="s">
        <v>3775</v>
      </c>
      <c r="T301" t="s">
        <v>62</v>
      </c>
      <c r="U301" t="str">
        <f>"08080"</f>
        <v>08080</v>
      </c>
      <c r="W301" t="s">
        <v>3838</v>
      </c>
      <c r="X301" t="s">
        <v>77</v>
      </c>
      <c r="Y301" t="s">
        <v>873</v>
      </c>
      <c r="Z301" t="s">
        <v>2936</v>
      </c>
      <c r="AA301" t="s">
        <v>68</v>
      </c>
      <c r="AB301" t="s">
        <v>54</v>
      </c>
      <c r="AC301" t="s">
        <v>1164</v>
      </c>
      <c r="AD301" t="s">
        <v>3839</v>
      </c>
      <c r="AE301" t="s">
        <v>69</v>
      </c>
      <c r="AF301" t="s">
        <v>54</v>
      </c>
      <c r="AG301" t="s">
        <v>1085</v>
      </c>
      <c r="AH301" t="s">
        <v>3840</v>
      </c>
      <c r="AI301" t="s">
        <v>73</v>
      </c>
      <c r="AJ301" t="s">
        <v>54</v>
      </c>
      <c r="AK301" t="s">
        <v>1085</v>
      </c>
      <c r="AL301" t="s">
        <v>3840</v>
      </c>
      <c r="AM301" t="s">
        <v>76</v>
      </c>
      <c r="AN301" t="s">
        <v>54</v>
      </c>
      <c r="AO301" t="s">
        <v>809</v>
      </c>
      <c r="AP301" t="s">
        <v>3841</v>
      </c>
      <c r="AQ301" t="s">
        <v>80</v>
      </c>
      <c r="AR301" t="s">
        <v>77</v>
      </c>
      <c r="AS301" t="s">
        <v>873</v>
      </c>
      <c r="AT301" t="s">
        <v>2936</v>
      </c>
      <c r="AU301" t="s">
        <v>83</v>
      </c>
      <c r="AV301" t="s">
        <v>3842</v>
      </c>
      <c r="AW301" t="str">
        <f>"3409600"</f>
        <v>3409600</v>
      </c>
    </row>
    <row r="302" spans="1:49">
      <c r="A302" t="str">
        <f t="shared" si="13"/>
        <v>15</v>
      </c>
      <c r="B302" t="s">
        <v>3677</v>
      </c>
      <c r="C302" t="str">
        <f>"3280"</f>
        <v>3280</v>
      </c>
      <c r="D302" t="s">
        <v>3843</v>
      </c>
      <c r="F302" t="s">
        <v>65</v>
      </c>
      <c r="G302" t="s">
        <v>541</v>
      </c>
      <c r="H302" t="s">
        <v>3844</v>
      </c>
      <c r="I302" t="s">
        <v>89</v>
      </c>
      <c r="J302" s="2" t="s">
        <v>3845</v>
      </c>
      <c r="K302" t="s">
        <v>3846</v>
      </c>
      <c r="L302" t="s">
        <v>60</v>
      </c>
      <c r="M302" t="s">
        <v>3847</v>
      </c>
      <c r="N302" t="s">
        <v>62</v>
      </c>
      <c r="O302" t="str">
        <f>"08094"</f>
        <v>08094</v>
      </c>
      <c r="P302" t="s">
        <v>3846</v>
      </c>
      <c r="S302" t="s">
        <v>3847</v>
      </c>
      <c r="T302" t="s">
        <v>62</v>
      </c>
      <c r="U302" t="str">
        <f>"08094"</f>
        <v>08094</v>
      </c>
      <c r="W302" t="s">
        <v>3848</v>
      </c>
      <c r="X302" t="s">
        <v>54</v>
      </c>
      <c r="Y302" t="s">
        <v>150</v>
      </c>
      <c r="Z302" t="s">
        <v>3849</v>
      </c>
      <c r="AA302" t="s">
        <v>112</v>
      </c>
      <c r="AB302" t="s">
        <v>65</v>
      </c>
      <c r="AC302" t="s">
        <v>328</v>
      </c>
      <c r="AD302" t="s">
        <v>3850</v>
      </c>
      <c r="AE302" t="s">
        <v>69</v>
      </c>
      <c r="AF302" t="s">
        <v>70</v>
      </c>
      <c r="AG302" t="s">
        <v>3757</v>
      </c>
      <c r="AH302" t="s">
        <v>3851</v>
      </c>
      <c r="AI302" t="s">
        <v>73</v>
      </c>
      <c r="AJ302" t="s">
        <v>77</v>
      </c>
      <c r="AK302" t="s">
        <v>3852</v>
      </c>
      <c r="AL302" t="s">
        <v>3853</v>
      </c>
      <c r="AM302" t="s">
        <v>76</v>
      </c>
      <c r="AN302" t="s">
        <v>77</v>
      </c>
      <c r="AO302" t="s">
        <v>328</v>
      </c>
      <c r="AP302" t="s">
        <v>3854</v>
      </c>
      <c r="AQ302" t="s">
        <v>80</v>
      </c>
      <c r="AR302" t="s">
        <v>70</v>
      </c>
      <c r="AS302" t="s">
        <v>435</v>
      </c>
      <c r="AT302" t="s">
        <v>3855</v>
      </c>
      <c r="AU302" t="s">
        <v>83</v>
      </c>
      <c r="AV302" t="s">
        <v>3856</v>
      </c>
      <c r="AW302" t="str">
        <f>"3410470"</f>
        <v>3410470</v>
      </c>
    </row>
    <row r="303" spans="1:49">
      <c r="A303" t="str">
        <f t="shared" si="13"/>
        <v>15</v>
      </c>
      <c r="B303" t="s">
        <v>3677</v>
      </c>
      <c r="C303" t="str">
        <f>"3490"</f>
        <v>3490</v>
      </c>
      <c r="D303" t="s">
        <v>3857</v>
      </c>
      <c r="F303" t="s">
        <v>65</v>
      </c>
      <c r="G303" t="s">
        <v>1272</v>
      </c>
      <c r="H303" t="s">
        <v>3751</v>
      </c>
      <c r="I303" t="s">
        <v>89</v>
      </c>
      <c r="J303" s="2" t="s">
        <v>3752</v>
      </c>
      <c r="K303" t="s">
        <v>3858</v>
      </c>
      <c r="L303" t="s">
        <v>60</v>
      </c>
      <c r="M303" t="s">
        <v>3859</v>
      </c>
      <c r="N303" t="s">
        <v>62</v>
      </c>
      <c r="O303" t="str">
        <f>"08063"</f>
        <v>08063</v>
      </c>
      <c r="P303" t="s">
        <v>3858</v>
      </c>
      <c r="S303" t="s">
        <v>3859</v>
      </c>
      <c r="T303" t="s">
        <v>62</v>
      </c>
      <c r="U303" t="str">
        <f>"08063"</f>
        <v>08063</v>
      </c>
      <c r="W303" t="s">
        <v>3860</v>
      </c>
      <c r="X303" t="s">
        <v>54</v>
      </c>
      <c r="Y303" t="s">
        <v>1346</v>
      </c>
      <c r="Z303" t="s">
        <v>3756</v>
      </c>
      <c r="AA303" t="s">
        <v>68</v>
      </c>
      <c r="AB303" t="s">
        <v>54</v>
      </c>
      <c r="AC303" t="s">
        <v>3757</v>
      </c>
      <c r="AD303" t="s">
        <v>2461</v>
      </c>
      <c r="AE303" t="s">
        <v>98</v>
      </c>
      <c r="AF303" t="s">
        <v>54</v>
      </c>
      <c r="AG303" t="s">
        <v>1526</v>
      </c>
      <c r="AH303" t="s">
        <v>3861</v>
      </c>
      <c r="AI303" t="s">
        <v>73</v>
      </c>
      <c r="AJ303" t="s">
        <v>54</v>
      </c>
      <c r="AK303" t="s">
        <v>1526</v>
      </c>
      <c r="AL303" t="s">
        <v>3861</v>
      </c>
      <c r="AM303" t="s">
        <v>76</v>
      </c>
      <c r="AR303" t="s">
        <v>77</v>
      </c>
      <c r="AS303" t="s">
        <v>3862</v>
      </c>
      <c r="AT303" t="s">
        <v>3758</v>
      </c>
      <c r="AU303" t="s">
        <v>83</v>
      </c>
      <c r="AV303" t="s">
        <v>3863</v>
      </c>
      <c r="AW303" t="str">
        <f>"3411100"</f>
        <v>3411100</v>
      </c>
    </row>
    <row r="304" spans="1:49">
      <c r="A304" t="str">
        <f t="shared" si="13"/>
        <v>15</v>
      </c>
      <c r="B304" t="s">
        <v>3677</v>
      </c>
      <c r="C304" t="str">
        <f>"3580"</f>
        <v>3580</v>
      </c>
      <c r="D304" t="s">
        <v>3864</v>
      </c>
      <c r="K304" t="s">
        <v>3865</v>
      </c>
      <c r="L304" t="s">
        <v>60</v>
      </c>
      <c r="M304" t="s">
        <v>2272</v>
      </c>
      <c r="N304" t="s">
        <v>62</v>
      </c>
      <c r="O304" t="str">
        <f>"08105"</f>
        <v>08105</v>
      </c>
      <c r="P304" t="s">
        <v>3865</v>
      </c>
      <c r="S304" t="s">
        <v>2272</v>
      </c>
      <c r="T304" t="s">
        <v>62</v>
      </c>
      <c r="U304" t="str">
        <f>"08105"</f>
        <v>08105</v>
      </c>
      <c r="X304" t="s">
        <v>77</v>
      </c>
      <c r="Y304" t="s">
        <v>1704</v>
      </c>
      <c r="Z304" t="s">
        <v>3866</v>
      </c>
      <c r="AA304" t="s">
        <v>112</v>
      </c>
      <c r="AV304" t="s">
        <v>2896</v>
      </c>
    </row>
    <row r="305" spans="1:49">
      <c r="A305" t="str">
        <f t="shared" si="13"/>
        <v>15</v>
      </c>
      <c r="B305" t="s">
        <v>3677</v>
      </c>
      <c r="C305" t="str">
        <f>"4020"</f>
        <v>4020</v>
      </c>
      <c r="D305" t="s">
        <v>3867</v>
      </c>
      <c r="F305" t="s">
        <v>65</v>
      </c>
      <c r="G305" t="s">
        <v>1831</v>
      </c>
      <c r="H305" t="s">
        <v>3868</v>
      </c>
      <c r="I305" t="s">
        <v>89</v>
      </c>
      <c r="J305" s="2" t="s">
        <v>3869</v>
      </c>
      <c r="K305" t="s">
        <v>3870</v>
      </c>
      <c r="L305" t="s">
        <v>60</v>
      </c>
      <c r="M305" t="s">
        <v>3871</v>
      </c>
      <c r="N305" t="s">
        <v>62</v>
      </c>
      <c r="O305" t="str">
        <f>"08066"</f>
        <v>08066</v>
      </c>
      <c r="P305" t="s">
        <v>3870</v>
      </c>
      <c r="S305" t="s">
        <v>3871</v>
      </c>
      <c r="T305" t="s">
        <v>62</v>
      </c>
      <c r="U305" t="str">
        <f>"08066"</f>
        <v>08066</v>
      </c>
      <c r="W305" t="s">
        <v>3872</v>
      </c>
      <c r="X305" t="s">
        <v>70</v>
      </c>
      <c r="Y305" t="s">
        <v>1298</v>
      </c>
      <c r="Z305" t="s">
        <v>3873</v>
      </c>
      <c r="AA305" t="s">
        <v>773</v>
      </c>
      <c r="AB305" t="s">
        <v>77</v>
      </c>
      <c r="AC305" t="s">
        <v>873</v>
      </c>
      <c r="AD305" t="s">
        <v>857</v>
      </c>
      <c r="AE305" t="s">
        <v>69</v>
      </c>
      <c r="AF305" t="s">
        <v>77</v>
      </c>
      <c r="AG305" t="s">
        <v>328</v>
      </c>
      <c r="AH305" t="s">
        <v>3874</v>
      </c>
      <c r="AI305" t="s">
        <v>73</v>
      </c>
      <c r="AJ305" t="s">
        <v>70</v>
      </c>
      <c r="AK305" t="s">
        <v>306</v>
      </c>
      <c r="AL305" t="s">
        <v>3875</v>
      </c>
      <c r="AM305" t="s">
        <v>76</v>
      </c>
      <c r="AN305" t="s">
        <v>77</v>
      </c>
      <c r="AO305" t="s">
        <v>1953</v>
      </c>
      <c r="AP305" t="s">
        <v>3876</v>
      </c>
      <c r="AQ305" t="s">
        <v>80</v>
      </c>
      <c r="AR305" t="s">
        <v>77</v>
      </c>
      <c r="AS305" t="s">
        <v>281</v>
      </c>
      <c r="AT305" t="s">
        <v>3877</v>
      </c>
      <c r="AU305" t="s">
        <v>83</v>
      </c>
      <c r="AV305" t="s">
        <v>3878</v>
      </c>
      <c r="AW305" t="str">
        <f>"3412720"</f>
        <v>3412720</v>
      </c>
    </row>
    <row r="306" spans="1:49">
      <c r="A306" t="str">
        <f t="shared" si="13"/>
        <v>15</v>
      </c>
      <c r="B306" t="s">
        <v>3677</v>
      </c>
      <c r="C306" t="str">
        <f>"4140"</f>
        <v>4140</v>
      </c>
      <c r="D306" t="s">
        <v>3879</v>
      </c>
      <c r="F306" t="s">
        <v>65</v>
      </c>
      <c r="G306" t="s">
        <v>293</v>
      </c>
      <c r="H306" t="s">
        <v>3880</v>
      </c>
      <c r="I306" t="s">
        <v>89</v>
      </c>
      <c r="J306" s="2" t="s">
        <v>3881</v>
      </c>
      <c r="K306" t="s">
        <v>3882</v>
      </c>
      <c r="L306" t="s">
        <v>60</v>
      </c>
      <c r="M306" t="s">
        <v>3883</v>
      </c>
      <c r="N306" t="s">
        <v>62</v>
      </c>
      <c r="O306" t="s">
        <v>3884</v>
      </c>
      <c r="P306" t="s">
        <v>3882</v>
      </c>
      <c r="S306" t="s">
        <v>3883</v>
      </c>
      <c r="T306" t="s">
        <v>62</v>
      </c>
      <c r="U306" t="str">
        <f>"08071"</f>
        <v>08071</v>
      </c>
      <c r="V306" t="str">
        <f>"1014"</f>
        <v>1014</v>
      </c>
      <c r="W306" t="s">
        <v>3885</v>
      </c>
      <c r="X306" t="s">
        <v>54</v>
      </c>
      <c r="Y306" t="s">
        <v>649</v>
      </c>
      <c r="Z306" t="s">
        <v>3886</v>
      </c>
      <c r="AA306" t="s">
        <v>112</v>
      </c>
      <c r="AB306" t="s">
        <v>77</v>
      </c>
      <c r="AC306" t="s">
        <v>3887</v>
      </c>
      <c r="AD306" t="s">
        <v>1629</v>
      </c>
      <c r="AE306" t="s">
        <v>587</v>
      </c>
      <c r="AF306" t="s">
        <v>54</v>
      </c>
      <c r="AG306" t="s">
        <v>3888</v>
      </c>
      <c r="AH306" t="s">
        <v>3889</v>
      </c>
      <c r="AI306" t="s">
        <v>73</v>
      </c>
      <c r="AJ306" t="s">
        <v>54</v>
      </c>
      <c r="AK306" t="s">
        <v>3888</v>
      </c>
      <c r="AL306" t="s">
        <v>3889</v>
      </c>
      <c r="AM306" t="s">
        <v>76</v>
      </c>
      <c r="AN306" t="s">
        <v>77</v>
      </c>
      <c r="AO306" t="s">
        <v>593</v>
      </c>
      <c r="AP306" t="s">
        <v>3890</v>
      </c>
      <c r="AQ306" t="s">
        <v>80</v>
      </c>
      <c r="AR306" t="s">
        <v>65</v>
      </c>
      <c r="AS306" t="s">
        <v>293</v>
      </c>
      <c r="AT306" t="s">
        <v>3880</v>
      </c>
      <c r="AU306" t="s">
        <v>83</v>
      </c>
      <c r="AV306" t="s">
        <v>3891</v>
      </c>
      <c r="AW306" t="str">
        <f>"3413080"</f>
        <v>3413080</v>
      </c>
    </row>
    <row r="307" spans="1:49">
      <c r="A307" t="str">
        <f t="shared" si="13"/>
        <v>15</v>
      </c>
      <c r="B307" t="s">
        <v>3677</v>
      </c>
      <c r="C307" t="str">
        <f>"4880"</f>
        <v>4880</v>
      </c>
      <c r="D307" t="s">
        <v>3892</v>
      </c>
      <c r="F307" t="s">
        <v>65</v>
      </c>
      <c r="G307" t="s">
        <v>182</v>
      </c>
      <c r="H307" t="s">
        <v>3813</v>
      </c>
      <c r="I307" t="s">
        <v>89</v>
      </c>
      <c r="J307" s="2" t="s">
        <v>3893</v>
      </c>
      <c r="K307" t="s">
        <v>3894</v>
      </c>
      <c r="L307" t="s">
        <v>3895</v>
      </c>
      <c r="M307" t="s">
        <v>3896</v>
      </c>
      <c r="N307" t="s">
        <v>62</v>
      </c>
      <c r="O307" t="s">
        <v>3897</v>
      </c>
      <c r="P307" t="s">
        <v>3894</v>
      </c>
      <c r="Q307" t="s">
        <v>3898</v>
      </c>
      <c r="S307" t="s">
        <v>3896</v>
      </c>
      <c r="T307" t="s">
        <v>62</v>
      </c>
      <c r="U307" t="str">
        <f>"08039"</f>
        <v>08039</v>
      </c>
      <c r="V307" t="str">
        <f>"0112"</f>
        <v>0112</v>
      </c>
      <c r="W307" t="s">
        <v>3818</v>
      </c>
      <c r="X307" t="s">
        <v>77</v>
      </c>
      <c r="Y307" t="s">
        <v>243</v>
      </c>
      <c r="Z307" t="s">
        <v>3819</v>
      </c>
      <c r="AA307" t="s">
        <v>68</v>
      </c>
      <c r="AB307" t="s">
        <v>54</v>
      </c>
      <c r="AC307" t="s">
        <v>932</v>
      </c>
      <c r="AD307" t="s">
        <v>161</v>
      </c>
      <c r="AE307" t="s">
        <v>181</v>
      </c>
      <c r="AF307" t="s">
        <v>65</v>
      </c>
      <c r="AG307" t="s">
        <v>436</v>
      </c>
      <c r="AH307" t="s">
        <v>3899</v>
      </c>
      <c r="AI307" t="s">
        <v>73</v>
      </c>
      <c r="AJ307" t="s">
        <v>65</v>
      </c>
      <c r="AK307" t="s">
        <v>436</v>
      </c>
      <c r="AL307" t="s">
        <v>3899</v>
      </c>
      <c r="AM307" t="s">
        <v>76</v>
      </c>
      <c r="AN307" t="s">
        <v>77</v>
      </c>
      <c r="AO307" t="s">
        <v>873</v>
      </c>
      <c r="AP307" t="s">
        <v>3823</v>
      </c>
      <c r="AQ307" t="s">
        <v>80</v>
      </c>
      <c r="AR307" t="s">
        <v>65</v>
      </c>
      <c r="AS307" t="s">
        <v>436</v>
      </c>
      <c r="AT307" t="s">
        <v>3899</v>
      </c>
      <c r="AU307" t="s">
        <v>83</v>
      </c>
      <c r="AV307" t="s">
        <v>3900</v>
      </c>
      <c r="AW307" t="str">
        <f>"3415270"</f>
        <v>3415270</v>
      </c>
    </row>
    <row r="308" spans="1:49">
      <c r="A308" t="str">
        <f t="shared" si="13"/>
        <v>15</v>
      </c>
      <c r="B308" t="s">
        <v>3677</v>
      </c>
      <c r="C308" t="str">
        <f>"5120"</f>
        <v>5120</v>
      </c>
      <c r="D308" t="s">
        <v>3901</v>
      </c>
      <c r="F308" t="s">
        <v>77</v>
      </c>
      <c r="G308" t="s">
        <v>1067</v>
      </c>
      <c r="H308" t="s">
        <v>1042</v>
      </c>
      <c r="I308" t="s">
        <v>408</v>
      </c>
      <c r="J308" s="2" t="s">
        <v>3902</v>
      </c>
      <c r="K308" t="s">
        <v>3903</v>
      </c>
      <c r="L308" t="s">
        <v>60</v>
      </c>
      <c r="M308" t="s">
        <v>3904</v>
      </c>
      <c r="N308" t="s">
        <v>62</v>
      </c>
      <c r="O308" t="str">
        <f>"08085"</f>
        <v>08085</v>
      </c>
      <c r="P308" t="s">
        <v>3903</v>
      </c>
      <c r="S308" t="s">
        <v>3904</v>
      </c>
      <c r="T308" t="s">
        <v>62</v>
      </c>
      <c r="U308" t="str">
        <f>"08085"</f>
        <v>08085</v>
      </c>
      <c r="W308" t="s">
        <v>3905</v>
      </c>
      <c r="X308" t="s">
        <v>77</v>
      </c>
      <c r="Y308" t="s">
        <v>1695</v>
      </c>
      <c r="Z308" t="s">
        <v>3906</v>
      </c>
      <c r="AA308" t="s">
        <v>773</v>
      </c>
      <c r="AB308" t="s">
        <v>54</v>
      </c>
      <c r="AC308" t="s">
        <v>3907</v>
      </c>
      <c r="AD308" t="s">
        <v>3908</v>
      </c>
      <c r="AE308" t="s">
        <v>69</v>
      </c>
      <c r="AF308" t="s">
        <v>54</v>
      </c>
      <c r="AG308" t="s">
        <v>1508</v>
      </c>
      <c r="AH308" t="s">
        <v>3793</v>
      </c>
      <c r="AI308" t="s">
        <v>73</v>
      </c>
      <c r="AJ308" t="s">
        <v>54</v>
      </c>
      <c r="AK308" t="s">
        <v>3909</v>
      </c>
      <c r="AL308" t="s">
        <v>3910</v>
      </c>
      <c r="AM308" t="s">
        <v>76</v>
      </c>
      <c r="AN308" t="s">
        <v>77</v>
      </c>
      <c r="AO308" t="s">
        <v>3911</v>
      </c>
      <c r="AP308" t="s">
        <v>3912</v>
      </c>
      <c r="AQ308" t="s">
        <v>80</v>
      </c>
      <c r="AR308" t="s">
        <v>77</v>
      </c>
      <c r="AS308" t="s">
        <v>1067</v>
      </c>
      <c r="AT308" t="s">
        <v>1042</v>
      </c>
      <c r="AU308" t="s">
        <v>83</v>
      </c>
      <c r="AV308" t="s">
        <v>3913</v>
      </c>
      <c r="AW308" t="str">
        <f>"3415990"</f>
        <v>3415990</v>
      </c>
    </row>
    <row r="309" spans="1:49">
      <c r="A309" t="str">
        <f t="shared" si="13"/>
        <v>15</v>
      </c>
      <c r="B309" t="s">
        <v>3677</v>
      </c>
      <c r="C309" t="str">
        <f>"1590"</f>
        <v>1590</v>
      </c>
      <c r="D309" t="s">
        <v>3914</v>
      </c>
      <c r="F309" t="s">
        <v>77</v>
      </c>
      <c r="G309" t="s">
        <v>3915</v>
      </c>
      <c r="H309" t="s">
        <v>3916</v>
      </c>
      <c r="I309" t="s">
        <v>89</v>
      </c>
      <c r="J309" s="2" t="s">
        <v>3917</v>
      </c>
      <c r="K309" t="s">
        <v>3918</v>
      </c>
      <c r="L309" t="s">
        <v>60</v>
      </c>
      <c r="M309" t="s">
        <v>3712</v>
      </c>
      <c r="N309" t="s">
        <v>62</v>
      </c>
      <c r="O309" t="s">
        <v>3919</v>
      </c>
      <c r="P309" t="s">
        <v>3918</v>
      </c>
      <c r="S309" t="s">
        <v>3712</v>
      </c>
      <c r="T309" t="s">
        <v>62</v>
      </c>
      <c r="U309" t="str">
        <f>"08322"</f>
        <v>08322</v>
      </c>
      <c r="V309" t="str">
        <f>"3029"</f>
        <v>3029</v>
      </c>
      <c r="W309" t="s">
        <v>3920</v>
      </c>
      <c r="X309" t="s">
        <v>70</v>
      </c>
      <c r="Y309" t="s">
        <v>3921</v>
      </c>
      <c r="Z309" t="s">
        <v>3922</v>
      </c>
      <c r="AA309" t="s">
        <v>135</v>
      </c>
      <c r="AB309" t="s">
        <v>54</v>
      </c>
      <c r="AC309" t="s">
        <v>353</v>
      </c>
      <c r="AD309" t="s">
        <v>3923</v>
      </c>
      <c r="AE309" t="s">
        <v>69</v>
      </c>
      <c r="AF309" t="s">
        <v>54</v>
      </c>
      <c r="AG309" t="s">
        <v>353</v>
      </c>
      <c r="AH309" t="s">
        <v>3923</v>
      </c>
      <c r="AI309" t="s">
        <v>73</v>
      </c>
      <c r="AJ309" t="s">
        <v>54</v>
      </c>
      <c r="AK309" t="s">
        <v>3924</v>
      </c>
      <c r="AL309" t="s">
        <v>3925</v>
      </c>
      <c r="AM309" t="s">
        <v>76</v>
      </c>
      <c r="AN309" t="s">
        <v>77</v>
      </c>
      <c r="AO309" t="s">
        <v>357</v>
      </c>
      <c r="AP309" t="s">
        <v>1736</v>
      </c>
      <c r="AQ309" t="s">
        <v>80</v>
      </c>
      <c r="AR309" t="s">
        <v>77</v>
      </c>
      <c r="AS309" t="s">
        <v>3926</v>
      </c>
      <c r="AT309" t="s">
        <v>3927</v>
      </c>
      <c r="AU309" t="s">
        <v>83</v>
      </c>
      <c r="AV309" t="s">
        <v>3928</v>
      </c>
      <c r="AW309" t="str">
        <f>"3405430"</f>
        <v>3405430</v>
      </c>
    </row>
    <row r="310" spans="1:49">
      <c r="A310" t="str">
        <f t="shared" si="13"/>
        <v>15</v>
      </c>
      <c r="B310" t="s">
        <v>3677</v>
      </c>
      <c r="C310" t="str">
        <f>"5500"</f>
        <v>5500</v>
      </c>
      <c r="D310" t="s">
        <v>2145</v>
      </c>
      <c r="F310" t="s">
        <v>77</v>
      </c>
      <c r="G310" t="s">
        <v>358</v>
      </c>
      <c r="H310" t="s">
        <v>3929</v>
      </c>
      <c r="I310" t="s">
        <v>57</v>
      </c>
      <c r="J310" s="2" t="s">
        <v>3930</v>
      </c>
      <c r="K310" t="s">
        <v>3931</v>
      </c>
      <c r="L310" t="s">
        <v>60</v>
      </c>
      <c r="M310" t="s">
        <v>3775</v>
      </c>
      <c r="N310" t="s">
        <v>62</v>
      </c>
      <c r="O310" t="str">
        <f>"08080"</f>
        <v>08080</v>
      </c>
      <c r="P310" t="s">
        <v>3931</v>
      </c>
      <c r="S310" t="s">
        <v>3775</v>
      </c>
      <c r="T310" t="s">
        <v>62</v>
      </c>
      <c r="U310" t="str">
        <f>"08080"</f>
        <v>08080</v>
      </c>
      <c r="W310" t="s">
        <v>3932</v>
      </c>
      <c r="X310" t="s">
        <v>70</v>
      </c>
      <c r="Y310" t="s">
        <v>986</v>
      </c>
      <c r="Z310" t="s">
        <v>3933</v>
      </c>
      <c r="AA310" t="s">
        <v>68</v>
      </c>
      <c r="AB310" t="s">
        <v>70</v>
      </c>
      <c r="AC310" t="s">
        <v>297</v>
      </c>
      <c r="AD310" t="s">
        <v>1622</v>
      </c>
      <c r="AE310" t="s">
        <v>868</v>
      </c>
      <c r="AF310" t="s">
        <v>77</v>
      </c>
      <c r="AG310" t="s">
        <v>136</v>
      </c>
      <c r="AH310" t="s">
        <v>3934</v>
      </c>
      <c r="AI310" t="s">
        <v>73</v>
      </c>
      <c r="AJ310" t="s">
        <v>70</v>
      </c>
      <c r="AK310" t="s">
        <v>3142</v>
      </c>
      <c r="AL310" t="s">
        <v>3935</v>
      </c>
      <c r="AM310" t="s">
        <v>76</v>
      </c>
      <c r="AR310" t="s">
        <v>70</v>
      </c>
      <c r="AS310" t="s">
        <v>986</v>
      </c>
      <c r="AT310" t="s">
        <v>3933</v>
      </c>
      <c r="AU310" t="s">
        <v>83</v>
      </c>
      <c r="AV310" t="s">
        <v>3936</v>
      </c>
      <c r="AW310" t="str">
        <f>"3417070"</f>
        <v>3417070</v>
      </c>
    </row>
    <row r="311" spans="1:49">
      <c r="A311" t="str">
        <f t="shared" si="13"/>
        <v>15</v>
      </c>
      <c r="B311" t="s">
        <v>3677</v>
      </c>
      <c r="C311" t="str">
        <f>"5590"</f>
        <v>5590</v>
      </c>
      <c r="D311" t="s">
        <v>3937</v>
      </c>
      <c r="F311" t="s">
        <v>70</v>
      </c>
      <c r="G311" t="s">
        <v>3938</v>
      </c>
      <c r="H311" t="s">
        <v>3939</v>
      </c>
      <c r="I311" t="s">
        <v>57</v>
      </c>
      <c r="J311" s="2" t="s">
        <v>3940</v>
      </c>
      <c r="K311" t="s">
        <v>3941</v>
      </c>
      <c r="L311" t="s">
        <v>60</v>
      </c>
      <c r="M311" t="s">
        <v>3942</v>
      </c>
      <c r="N311" t="s">
        <v>62</v>
      </c>
      <c r="O311" t="str">
        <f>"08090"</f>
        <v>08090</v>
      </c>
      <c r="P311" t="s">
        <v>3941</v>
      </c>
      <c r="S311" t="s">
        <v>3942</v>
      </c>
      <c r="T311" t="s">
        <v>62</v>
      </c>
      <c r="U311" t="str">
        <f>"08090"</f>
        <v>08090</v>
      </c>
      <c r="W311" t="s">
        <v>3943</v>
      </c>
      <c r="X311" t="s">
        <v>54</v>
      </c>
      <c r="Y311" t="s">
        <v>809</v>
      </c>
      <c r="Z311" t="s">
        <v>3944</v>
      </c>
      <c r="AA311" t="s">
        <v>773</v>
      </c>
      <c r="AB311" t="s">
        <v>54</v>
      </c>
      <c r="AC311" t="s">
        <v>3945</v>
      </c>
      <c r="AD311" t="s">
        <v>2857</v>
      </c>
      <c r="AE311" t="s">
        <v>913</v>
      </c>
      <c r="AF311" t="s">
        <v>54</v>
      </c>
      <c r="AG311" t="s">
        <v>1720</v>
      </c>
      <c r="AH311" t="s">
        <v>1339</v>
      </c>
      <c r="AI311" t="s">
        <v>73</v>
      </c>
      <c r="AJ311" t="s">
        <v>54</v>
      </c>
      <c r="AK311" t="s">
        <v>1720</v>
      </c>
      <c r="AL311" t="s">
        <v>1339</v>
      </c>
      <c r="AM311" t="s">
        <v>76</v>
      </c>
      <c r="AN311" t="s">
        <v>54</v>
      </c>
      <c r="AO311" t="s">
        <v>1720</v>
      </c>
      <c r="AP311" t="s">
        <v>1339</v>
      </c>
      <c r="AQ311" t="s">
        <v>80</v>
      </c>
      <c r="AR311" t="s">
        <v>70</v>
      </c>
      <c r="AS311" t="s">
        <v>3938</v>
      </c>
      <c r="AT311" t="s">
        <v>3939</v>
      </c>
      <c r="AU311" t="s">
        <v>83</v>
      </c>
      <c r="AV311" t="s">
        <v>3946</v>
      </c>
      <c r="AW311" t="str">
        <f>"3417340"</f>
        <v>3417340</v>
      </c>
    </row>
    <row r="312" spans="1:49">
      <c r="A312" t="str">
        <f t="shared" si="13"/>
        <v>15</v>
      </c>
      <c r="B312" t="s">
        <v>3677</v>
      </c>
      <c r="C312" t="str">
        <f>"5620"</f>
        <v>5620</v>
      </c>
      <c r="D312" t="s">
        <v>3947</v>
      </c>
      <c r="F312" t="s">
        <v>77</v>
      </c>
      <c r="G312" t="s">
        <v>3427</v>
      </c>
      <c r="H312" t="s">
        <v>1776</v>
      </c>
      <c r="I312" t="s">
        <v>89</v>
      </c>
      <c r="J312" s="2" t="s">
        <v>3948</v>
      </c>
      <c r="K312" t="s">
        <v>3949</v>
      </c>
      <c r="L312" t="s">
        <v>60</v>
      </c>
      <c r="M312" t="s">
        <v>3950</v>
      </c>
      <c r="N312" t="s">
        <v>62</v>
      </c>
      <c r="O312" t="s">
        <v>3951</v>
      </c>
      <c r="P312" t="s">
        <v>3949</v>
      </c>
      <c r="S312" t="s">
        <v>3950</v>
      </c>
      <c r="T312" t="s">
        <v>62</v>
      </c>
      <c r="U312" t="str">
        <f>"08066"</f>
        <v>08066</v>
      </c>
      <c r="V312" t="str">
        <f>"1999"</f>
        <v>1999</v>
      </c>
      <c r="W312" t="s">
        <v>3952</v>
      </c>
      <c r="X312" t="s">
        <v>70</v>
      </c>
      <c r="Y312" t="s">
        <v>1298</v>
      </c>
      <c r="Z312" t="s">
        <v>3873</v>
      </c>
      <c r="AA312" t="s">
        <v>112</v>
      </c>
      <c r="AB312" t="s">
        <v>65</v>
      </c>
      <c r="AC312" t="s">
        <v>251</v>
      </c>
      <c r="AD312" t="s">
        <v>3953</v>
      </c>
      <c r="AE312" t="s">
        <v>98</v>
      </c>
      <c r="AF312" t="s">
        <v>65</v>
      </c>
      <c r="AG312" t="s">
        <v>3954</v>
      </c>
      <c r="AH312" t="s">
        <v>3955</v>
      </c>
      <c r="AI312" t="s">
        <v>73</v>
      </c>
      <c r="AJ312" t="s">
        <v>65</v>
      </c>
      <c r="AK312" t="s">
        <v>3954</v>
      </c>
      <c r="AL312" t="s">
        <v>3955</v>
      </c>
      <c r="AM312" t="s">
        <v>76</v>
      </c>
      <c r="AN312" t="s">
        <v>77</v>
      </c>
      <c r="AO312" t="s">
        <v>319</v>
      </c>
      <c r="AP312" t="s">
        <v>2598</v>
      </c>
      <c r="AQ312" t="s">
        <v>80</v>
      </c>
      <c r="AR312" t="s">
        <v>54</v>
      </c>
      <c r="AS312" t="s">
        <v>306</v>
      </c>
      <c r="AT312" t="s">
        <v>1843</v>
      </c>
      <c r="AU312" t="s">
        <v>83</v>
      </c>
      <c r="AV312" t="s">
        <v>3956</v>
      </c>
      <c r="AW312" t="str">
        <f>"3417430"</f>
        <v>3417430</v>
      </c>
    </row>
    <row r="313" spans="1:49">
      <c r="A313" t="str">
        <f t="shared" si="13"/>
        <v>15</v>
      </c>
      <c r="B313" t="s">
        <v>3677</v>
      </c>
      <c r="C313" t="str">
        <f>"5740"</f>
        <v>5740</v>
      </c>
      <c r="D313" t="s">
        <v>3957</v>
      </c>
      <c r="F313" t="s">
        <v>65</v>
      </c>
      <c r="G313" t="s">
        <v>1272</v>
      </c>
      <c r="H313" t="s">
        <v>3751</v>
      </c>
      <c r="I313" t="s">
        <v>89</v>
      </c>
      <c r="J313" s="2" t="s">
        <v>3752</v>
      </c>
      <c r="K313" t="s">
        <v>3958</v>
      </c>
      <c r="L313" t="s">
        <v>60</v>
      </c>
      <c r="M313" t="s">
        <v>3959</v>
      </c>
      <c r="N313" t="s">
        <v>62</v>
      </c>
      <c r="O313" t="str">
        <f>"08093"</f>
        <v>08093</v>
      </c>
      <c r="P313" t="s">
        <v>3958</v>
      </c>
      <c r="S313" t="s">
        <v>3959</v>
      </c>
      <c r="T313" t="s">
        <v>62</v>
      </c>
      <c r="U313" t="str">
        <f>"08093"</f>
        <v>08093</v>
      </c>
      <c r="W313" t="s">
        <v>3960</v>
      </c>
      <c r="X313" t="s">
        <v>77</v>
      </c>
      <c r="Y313" t="s">
        <v>287</v>
      </c>
      <c r="Z313" t="s">
        <v>3961</v>
      </c>
      <c r="AA313" t="s">
        <v>135</v>
      </c>
      <c r="AB313" t="s">
        <v>54</v>
      </c>
      <c r="AC313" t="s">
        <v>3757</v>
      </c>
      <c r="AD313" t="s">
        <v>2461</v>
      </c>
      <c r="AE313" t="s">
        <v>415</v>
      </c>
      <c r="AF313" t="s">
        <v>54</v>
      </c>
      <c r="AG313" t="s">
        <v>680</v>
      </c>
      <c r="AH313" t="s">
        <v>1782</v>
      </c>
      <c r="AI313" t="s">
        <v>73</v>
      </c>
      <c r="AJ313" t="s">
        <v>54</v>
      </c>
      <c r="AK313" t="s">
        <v>680</v>
      </c>
      <c r="AL313" t="s">
        <v>1782</v>
      </c>
      <c r="AM313" t="s">
        <v>76</v>
      </c>
      <c r="AN313" t="s">
        <v>77</v>
      </c>
      <c r="AO313" t="s">
        <v>3962</v>
      </c>
      <c r="AP313" t="s">
        <v>309</v>
      </c>
      <c r="AQ313" t="s">
        <v>80</v>
      </c>
      <c r="AR313" t="s">
        <v>77</v>
      </c>
      <c r="AS313" t="s">
        <v>677</v>
      </c>
      <c r="AT313" t="s">
        <v>3758</v>
      </c>
      <c r="AU313" t="s">
        <v>83</v>
      </c>
      <c r="AV313" t="s">
        <v>3963</v>
      </c>
      <c r="AW313" t="str">
        <f>"3417790"</f>
        <v>3417790</v>
      </c>
    </row>
    <row r="314" spans="1:49">
      <c r="A314" t="str">
        <f t="shared" si="13"/>
        <v>15</v>
      </c>
      <c r="B314" t="s">
        <v>3677</v>
      </c>
      <c r="C314" t="str">
        <f>"5860"</f>
        <v>5860</v>
      </c>
      <c r="D314" t="s">
        <v>3964</v>
      </c>
      <c r="F314" t="s">
        <v>77</v>
      </c>
      <c r="G314" t="s">
        <v>422</v>
      </c>
      <c r="H314" t="s">
        <v>1753</v>
      </c>
      <c r="I314" t="s">
        <v>89</v>
      </c>
      <c r="J314" s="2" t="s">
        <v>3965</v>
      </c>
      <c r="K314" t="s">
        <v>3966</v>
      </c>
      <c r="L314" t="s">
        <v>60</v>
      </c>
      <c r="M314" t="s">
        <v>3967</v>
      </c>
      <c r="N314" t="s">
        <v>62</v>
      </c>
      <c r="O314" t="str">
        <f>"08096"</f>
        <v>08096</v>
      </c>
      <c r="P314" t="s">
        <v>3966</v>
      </c>
      <c r="S314" t="s">
        <v>3967</v>
      </c>
      <c r="T314" t="s">
        <v>62</v>
      </c>
      <c r="U314" t="str">
        <f>"08096"</f>
        <v>08096</v>
      </c>
      <c r="W314" t="s">
        <v>3968</v>
      </c>
      <c r="X314" t="s">
        <v>54</v>
      </c>
      <c r="Y314" t="s">
        <v>1837</v>
      </c>
      <c r="Z314" t="s">
        <v>3969</v>
      </c>
      <c r="AA314" t="s">
        <v>135</v>
      </c>
      <c r="AB314" t="s">
        <v>77</v>
      </c>
      <c r="AC314" t="s">
        <v>3970</v>
      </c>
      <c r="AD314" t="s">
        <v>1293</v>
      </c>
      <c r="AE314" t="s">
        <v>98</v>
      </c>
      <c r="AF314" t="s">
        <v>77</v>
      </c>
      <c r="AG314" t="s">
        <v>701</v>
      </c>
      <c r="AH314" t="s">
        <v>3971</v>
      </c>
      <c r="AI314" t="s">
        <v>73</v>
      </c>
      <c r="AJ314" t="s">
        <v>77</v>
      </c>
      <c r="AK314" t="s">
        <v>701</v>
      </c>
      <c r="AL314" t="s">
        <v>3971</v>
      </c>
      <c r="AM314" t="s">
        <v>76</v>
      </c>
      <c r="AN314" t="s">
        <v>77</v>
      </c>
      <c r="AO314" t="s">
        <v>3492</v>
      </c>
      <c r="AP314" t="s">
        <v>2534</v>
      </c>
      <c r="AQ314" t="s">
        <v>80</v>
      </c>
      <c r="AR314" t="s">
        <v>77</v>
      </c>
      <c r="AS314" t="s">
        <v>310</v>
      </c>
      <c r="AT314" t="s">
        <v>3972</v>
      </c>
      <c r="AU314" t="s">
        <v>83</v>
      </c>
      <c r="AV314" t="s">
        <v>3973</v>
      </c>
      <c r="AW314" t="str">
        <f>"3418150"</f>
        <v>3418150</v>
      </c>
    </row>
    <row r="315" spans="1:49">
      <c r="A315" t="str">
        <f t="shared" si="13"/>
        <v>15</v>
      </c>
      <c r="B315" t="s">
        <v>3677</v>
      </c>
      <c r="C315" t="str">
        <f>"5870"</f>
        <v>5870</v>
      </c>
      <c r="D315" t="s">
        <v>3974</v>
      </c>
      <c r="F315" t="s">
        <v>54</v>
      </c>
      <c r="G315" t="s">
        <v>3975</v>
      </c>
      <c r="H315" t="s">
        <v>3976</v>
      </c>
      <c r="I315" t="s">
        <v>57</v>
      </c>
      <c r="J315" s="2" t="s">
        <v>3977</v>
      </c>
      <c r="K315" t="s">
        <v>3978</v>
      </c>
      <c r="L315" t="s">
        <v>60</v>
      </c>
      <c r="M315" t="s">
        <v>3754</v>
      </c>
      <c r="N315" t="s">
        <v>62</v>
      </c>
      <c r="O315" t="s">
        <v>3979</v>
      </c>
      <c r="P315" t="s">
        <v>3978</v>
      </c>
      <c r="S315" t="s">
        <v>3754</v>
      </c>
      <c r="T315" t="s">
        <v>62</v>
      </c>
      <c r="U315" t="str">
        <f>"08097"</f>
        <v>08097</v>
      </c>
      <c r="V315" t="str">
        <f>"1499"</f>
        <v>1499</v>
      </c>
      <c r="W315" t="s">
        <v>3980</v>
      </c>
      <c r="X315" t="s">
        <v>77</v>
      </c>
      <c r="Y315" t="s">
        <v>287</v>
      </c>
      <c r="Z315" t="s">
        <v>3961</v>
      </c>
      <c r="AA315" t="s">
        <v>135</v>
      </c>
      <c r="AB315" t="s">
        <v>54</v>
      </c>
      <c r="AC315" t="s">
        <v>3757</v>
      </c>
      <c r="AD315" t="s">
        <v>2461</v>
      </c>
      <c r="AE315" t="s">
        <v>98</v>
      </c>
      <c r="AF315" t="s">
        <v>54</v>
      </c>
      <c r="AG315" t="s">
        <v>3975</v>
      </c>
      <c r="AH315" t="s">
        <v>3976</v>
      </c>
      <c r="AI315" t="s">
        <v>73</v>
      </c>
      <c r="AJ315" t="s">
        <v>54</v>
      </c>
      <c r="AK315" t="s">
        <v>3975</v>
      </c>
      <c r="AL315" t="s">
        <v>3976</v>
      </c>
      <c r="AM315" t="s">
        <v>76</v>
      </c>
      <c r="AR315" t="s">
        <v>54</v>
      </c>
      <c r="AS315" t="s">
        <v>3975</v>
      </c>
      <c r="AT315" t="s">
        <v>3976</v>
      </c>
      <c r="AU315" t="s">
        <v>83</v>
      </c>
      <c r="AV315" t="s">
        <v>3981</v>
      </c>
      <c r="AW315" t="str">
        <f>"3418180"</f>
        <v>3418180</v>
      </c>
    </row>
    <row r="316" spans="1:49">
      <c r="A316" t="str">
        <f>"17"</f>
        <v>17</v>
      </c>
      <c r="B316" t="s">
        <v>3982</v>
      </c>
      <c r="C316" t="str">
        <f>"0220"</f>
        <v>0220</v>
      </c>
      <c r="D316" t="s">
        <v>3983</v>
      </c>
      <c r="F316" t="s">
        <v>77</v>
      </c>
      <c r="G316" t="s">
        <v>328</v>
      </c>
      <c r="H316" t="s">
        <v>3984</v>
      </c>
      <c r="I316" t="s">
        <v>89</v>
      </c>
      <c r="J316" s="2" t="s">
        <v>3985</v>
      </c>
      <c r="K316" t="s">
        <v>3986</v>
      </c>
      <c r="L316" t="s">
        <v>60</v>
      </c>
      <c r="M316" t="s">
        <v>3987</v>
      </c>
      <c r="N316" t="s">
        <v>62</v>
      </c>
      <c r="O316" t="str">
        <f>"07002"</f>
        <v>07002</v>
      </c>
      <c r="P316" t="s">
        <v>3986</v>
      </c>
      <c r="S316" t="s">
        <v>3987</v>
      </c>
      <c r="T316" t="s">
        <v>62</v>
      </c>
      <c r="U316" t="str">
        <f>"07002"</f>
        <v>07002</v>
      </c>
      <c r="W316" t="s">
        <v>3988</v>
      </c>
      <c r="X316" t="s">
        <v>77</v>
      </c>
      <c r="Y316" t="s">
        <v>87</v>
      </c>
      <c r="Z316" t="s">
        <v>3989</v>
      </c>
      <c r="AA316" t="s">
        <v>68</v>
      </c>
      <c r="AB316" t="s">
        <v>54</v>
      </c>
      <c r="AC316" t="s">
        <v>397</v>
      </c>
      <c r="AD316" t="s">
        <v>3990</v>
      </c>
      <c r="AE316" t="s">
        <v>913</v>
      </c>
      <c r="AF316" t="s">
        <v>54</v>
      </c>
      <c r="AG316" t="s">
        <v>3991</v>
      </c>
      <c r="AH316" t="s">
        <v>3992</v>
      </c>
      <c r="AI316" t="s">
        <v>73</v>
      </c>
      <c r="AJ316" t="s">
        <v>65</v>
      </c>
      <c r="AK316" t="s">
        <v>1067</v>
      </c>
      <c r="AL316" t="s">
        <v>3993</v>
      </c>
      <c r="AM316" t="s">
        <v>76</v>
      </c>
      <c r="AN316" t="s">
        <v>65</v>
      </c>
      <c r="AO316" t="s">
        <v>3994</v>
      </c>
      <c r="AP316" t="s">
        <v>3995</v>
      </c>
      <c r="AQ316" t="s">
        <v>80</v>
      </c>
      <c r="AR316" t="s">
        <v>77</v>
      </c>
      <c r="AS316" t="s">
        <v>892</v>
      </c>
      <c r="AT316" t="s">
        <v>3996</v>
      </c>
      <c r="AU316" t="s">
        <v>83</v>
      </c>
      <c r="AV316" t="s">
        <v>3997</v>
      </c>
      <c r="AW316" t="str">
        <f>"3401260"</f>
        <v>3401260</v>
      </c>
    </row>
    <row r="317" spans="1:49">
      <c r="A317" t="str">
        <f>"80"</f>
        <v>80</v>
      </c>
      <c r="B317" t="s">
        <v>3982</v>
      </c>
      <c r="C317" t="str">
        <f>"6082"</f>
        <v>6082</v>
      </c>
      <c r="D317" t="s">
        <v>3998</v>
      </c>
      <c r="E317" t="str">
        <f>"963"</f>
        <v>963</v>
      </c>
      <c r="G317" t="s">
        <v>2374</v>
      </c>
      <c r="H317" t="s">
        <v>3999</v>
      </c>
      <c r="I317" t="s">
        <v>128</v>
      </c>
      <c r="J317" s="2" t="s">
        <v>4000</v>
      </c>
      <c r="K317" t="s">
        <v>4001</v>
      </c>
      <c r="L317" t="s">
        <v>60</v>
      </c>
      <c r="M317" t="s">
        <v>4002</v>
      </c>
      <c r="N317" t="s">
        <v>62</v>
      </c>
      <c r="O317" t="str">
        <f>"07302"</f>
        <v>07302</v>
      </c>
      <c r="P317" t="s">
        <v>4001</v>
      </c>
      <c r="S317" t="s">
        <v>4002</v>
      </c>
      <c r="T317" t="s">
        <v>62</v>
      </c>
      <c r="U317" t="str">
        <f>"07302"</f>
        <v>07302</v>
      </c>
      <c r="W317" t="s">
        <v>4003</v>
      </c>
      <c r="Y317" t="s">
        <v>223</v>
      </c>
      <c r="Z317" t="s">
        <v>4004</v>
      </c>
      <c r="AA317" t="s">
        <v>135</v>
      </c>
      <c r="AC317" t="s">
        <v>262</v>
      </c>
      <c r="AD317" t="s">
        <v>4005</v>
      </c>
      <c r="AE317" t="s">
        <v>69</v>
      </c>
      <c r="AG317" t="s">
        <v>120</v>
      </c>
      <c r="AH317" t="s">
        <v>209</v>
      </c>
      <c r="AI317" t="s">
        <v>73</v>
      </c>
      <c r="AK317" t="s">
        <v>291</v>
      </c>
      <c r="AL317" t="s">
        <v>4006</v>
      </c>
      <c r="AM317" t="s">
        <v>76</v>
      </c>
      <c r="AO317" t="s">
        <v>4007</v>
      </c>
      <c r="AP317" t="s">
        <v>4008</v>
      </c>
      <c r="AQ317" t="s">
        <v>80</v>
      </c>
      <c r="AS317" t="s">
        <v>291</v>
      </c>
      <c r="AT317" t="s">
        <v>4006</v>
      </c>
      <c r="AU317" t="s">
        <v>83</v>
      </c>
      <c r="AV317" t="s">
        <v>4009</v>
      </c>
    </row>
    <row r="318" spans="1:49">
      <c r="A318" t="str">
        <f>"80"</f>
        <v>80</v>
      </c>
      <c r="B318" t="s">
        <v>3982</v>
      </c>
      <c r="C318" t="str">
        <f>"6064"</f>
        <v>6064</v>
      </c>
      <c r="D318" t="s">
        <v>4010</v>
      </c>
      <c r="E318" t="str">
        <f>"946"</f>
        <v>946</v>
      </c>
      <c r="F318" t="s">
        <v>77</v>
      </c>
      <c r="G318" t="s">
        <v>287</v>
      </c>
      <c r="H318" t="s">
        <v>4011</v>
      </c>
      <c r="I318" t="s">
        <v>4012</v>
      </c>
      <c r="J318" s="2" t="s">
        <v>4013</v>
      </c>
      <c r="K318" t="s">
        <v>4014</v>
      </c>
      <c r="L318" t="s">
        <v>60</v>
      </c>
      <c r="M318" t="s">
        <v>4002</v>
      </c>
      <c r="N318" t="s">
        <v>62</v>
      </c>
      <c r="O318" t="str">
        <f>"07304"</f>
        <v>07304</v>
      </c>
      <c r="P318" t="s">
        <v>4014</v>
      </c>
      <c r="S318" t="s">
        <v>4002</v>
      </c>
      <c r="T318" t="s">
        <v>62</v>
      </c>
      <c r="U318" t="str">
        <f>"07304"</f>
        <v>07304</v>
      </c>
      <c r="W318" t="s">
        <v>4015</v>
      </c>
      <c r="X318" t="s">
        <v>65</v>
      </c>
      <c r="Y318" t="s">
        <v>212</v>
      </c>
      <c r="Z318" t="s">
        <v>491</v>
      </c>
      <c r="AA318" t="s">
        <v>68</v>
      </c>
      <c r="AB318" t="s">
        <v>77</v>
      </c>
      <c r="AC318" t="s">
        <v>892</v>
      </c>
      <c r="AD318" t="s">
        <v>4016</v>
      </c>
      <c r="AE318" t="s">
        <v>98</v>
      </c>
      <c r="AF318" t="s">
        <v>77</v>
      </c>
      <c r="AG318" t="s">
        <v>892</v>
      </c>
      <c r="AH318" t="s">
        <v>4016</v>
      </c>
      <c r="AI318" t="s">
        <v>73</v>
      </c>
      <c r="AJ318" t="s">
        <v>77</v>
      </c>
      <c r="AK318" t="s">
        <v>182</v>
      </c>
      <c r="AL318" t="s">
        <v>4017</v>
      </c>
      <c r="AM318" t="s">
        <v>76</v>
      </c>
      <c r="AR318" t="s">
        <v>77</v>
      </c>
      <c r="AS318" t="s">
        <v>182</v>
      </c>
      <c r="AT318" t="s">
        <v>4017</v>
      </c>
      <c r="AU318" t="s">
        <v>83</v>
      </c>
      <c r="AV318" t="s">
        <v>4018</v>
      </c>
      <c r="AW318" t="str">
        <f>"3400756"</f>
        <v>3400756</v>
      </c>
    </row>
    <row r="319" spans="1:49">
      <c r="A319" t="str">
        <f>"17"</f>
        <v>17</v>
      </c>
      <c r="B319" t="s">
        <v>3982</v>
      </c>
      <c r="C319" t="str">
        <f>"1200"</f>
        <v>1200</v>
      </c>
      <c r="D319" t="s">
        <v>4019</v>
      </c>
      <c r="F319" t="s">
        <v>65</v>
      </c>
      <c r="G319" t="s">
        <v>223</v>
      </c>
      <c r="H319" t="s">
        <v>4020</v>
      </c>
      <c r="I319" t="s">
        <v>89</v>
      </c>
      <c r="J319" s="2" t="s">
        <v>4021</v>
      </c>
      <c r="K319" t="s">
        <v>4022</v>
      </c>
      <c r="L319" t="s">
        <v>60</v>
      </c>
      <c r="M319" t="s">
        <v>4023</v>
      </c>
      <c r="N319" t="s">
        <v>62</v>
      </c>
      <c r="O319" t="str">
        <f>"07029"</f>
        <v>07029</v>
      </c>
      <c r="P319" t="s">
        <v>4022</v>
      </c>
      <c r="S319" t="s">
        <v>4023</v>
      </c>
      <c r="T319" t="s">
        <v>62</v>
      </c>
      <c r="U319" t="str">
        <f>"07029"</f>
        <v>07029</v>
      </c>
      <c r="W319" t="s">
        <v>4024</v>
      </c>
      <c r="X319" t="s">
        <v>77</v>
      </c>
      <c r="Y319" t="s">
        <v>555</v>
      </c>
      <c r="Z319" t="s">
        <v>4025</v>
      </c>
      <c r="AA319" t="s">
        <v>135</v>
      </c>
      <c r="AB319" t="s">
        <v>54</v>
      </c>
      <c r="AC319" t="s">
        <v>4026</v>
      </c>
      <c r="AD319" t="s">
        <v>4027</v>
      </c>
      <c r="AE319" t="s">
        <v>433</v>
      </c>
      <c r="AF319" t="s">
        <v>54</v>
      </c>
      <c r="AG319" t="s">
        <v>371</v>
      </c>
      <c r="AH319" t="s">
        <v>4028</v>
      </c>
      <c r="AI319" t="s">
        <v>73</v>
      </c>
      <c r="AJ319" t="s">
        <v>54</v>
      </c>
      <c r="AK319" t="s">
        <v>371</v>
      </c>
      <c r="AL319" t="s">
        <v>4028</v>
      </c>
      <c r="AM319" t="s">
        <v>76</v>
      </c>
      <c r="AN319" t="s">
        <v>77</v>
      </c>
      <c r="AO319" t="s">
        <v>555</v>
      </c>
      <c r="AP319" t="s">
        <v>4025</v>
      </c>
      <c r="AQ319" t="s">
        <v>80</v>
      </c>
      <c r="AV319" t="s">
        <v>4029</v>
      </c>
      <c r="AW319" t="str">
        <f>"3404200"</f>
        <v>3404200</v>
      </c>
    </row>
    <row r="320" spans="1:49">
      <c r="A320" t="str">
        <f>"80"</f>
        <v>80</v>
      </c>
      <c r="B320" t="s">
        <v>3982</v>
      </c>
      <c r="C320" t="str">
        <f>"6420"</f>
        <v>6420</v>
      </c>
      <c r="D320" t="s">
        <v>4030</v>
      </c>
      <c r="E320" t="str">
        <f>"925"</f>
        <v>925</v>
      </c>
      <c r="F320" t="s">
        <v>70</v>
      </c>
      <c r="G320" t="s">
        <v>541</v>
      </c>
      <c r="H320" t="s">
        <v>4031</v>
      </c>
      <c r="I320" t="s">
        <v>128</v>
      </c>
      <c r="J320" s="2" t="s">
        <v>4032</v>
      </c>
      <c r="K320" t="s">
        <v>4033</v>
      </c>
      <c r="L320" t="s">
        <v>60</v>
      </c>
      <c r="M320" t="s">
        <v>4034</v>
      </c>
      <c r="N320" t="s">
        <v>62</v>
      </c>
      <c r="O320" t="s">
        <v>4035</v>
      </c>
      <c r="P320" t="s">
        <v>4033</v>
      </c>
      <c r="S320" t="s">
        <v>4034</v>
      </c>
      <c r="T320" t="s">
        <v>62</v>
      </c>
      <c r="U320" t="str">
        <f>"07030"</f>
        <v>07030</v>
      </c>
      <c r="V320" t="str">
        <f>"4004"</f>
        <v>4004</v>
      </c>
      <c r="W320" t="s">
        <v>4036</v>
      </c>
      <c r="X320" t="s">
        <v>77</v>
      </c>
      <c r="Y320" t="s">
        <v>771</v>
      </c>
      <c r="Z320" t="s">
        <v>4037</v>
      </c>
      <c r="AA320" t="s">
        <v>112</v>
      </c>
      <c r="AB320" t="s">
        <v>54</v>
      </c>
      <c r="AC320" t="s">
        <v>4038</v>
      </c>
      <c r="AD320" t="s">
        <v>4039</v>
      </c>
      <c r="AE320" t="s">
        <v>181</v>
      </c>
      <c r="AF320" t="s">
        <v>70</v>
      </c>
      <c r="AG320" t="s">
        <v>1748</v>
      </c>
      <c r="AH320" t="s">
        <v>4040</v>
      </c>
      <c r="AI320" t="s">
        <v>73</v>
      </c>
      <c r="AJ320" t="s">
        <v>70</v>
      </c>
      <c r="AK320" t="s">
        <v>541</v>
      </c>
      <c r="AL320" t="s">
        <v>4031</v>
      </c>
      <c r="AM320" t="s">
        <v>76</v>
      </c>
      <c r="AR320" t="s">
        <v>70</v>
      </c>
      <c r="AS320" t="s">
        <v>541</v>
      </c>
      <c r="AT320" t="s">
        <v>4031</v>
      </c>
      <c r="AU320" t="s">
        <v>83</v>
      </c>
      <c r="AV320" t="s">
        <v>4041</v>
      </c>
      <c r="AW320" t="str">
        <f>"3400029"</f>
        <v>3400029</v>
      </c>
    </row>
    <row r="321" spans="1:49">
      <c r="A321" t="str">
        <f>"80"</f>
        <v>80</v>
      </c>
      <c r="B321" t="s">
        <v>3982</v>
      </c>
      <c r="C321" t="str">
        <f>"6103"</f>
        <v>6103</v>
      </c>
      <c r="D321" t="s">
        <v>4042</v>
      </c>
      <c r="E321" t="str">
        <f>"994"</f>
        <v>994</v>
      </c>
      <c r="F321" t="s">
        <v>70</v>
      </c>
      <c r="G321" t="s">
        <v>1692</v>
      </c>
      <c r="H321" t="s">
        <v>4043</v>
      </c>
      <c r="I321" t="s">
        <v>128</v>
      </c>
      <c r="J321" s="2" t="s">
        <v>4044</v>
      </c>
      <c r="K321" t="s">
        <v>4045</v>
      </c>
      <c r="L321" t="s">
        <v>60</v>
      </c>
      <c r="M321" t="s">
        <v>4002</v>
      </c>
      <c r="N321" t="s">
        <v>62</v>
      </c>
      <c r="O321" t="str">
        <f>"07304"</f>
        <v>07304</v>
      </c>
      <c r="P321" t="s">
        <v>4045</v>
      </c>
      <c r="S321" t="s">
        <v>4002</v>
      </c>
      <c r="T321" t="s">
        <v>62</v>
      </c>
      <c r="U321" t="str">
        <f>"07304"</f>
        <v>07304</v>
      </c>
      <c r="W321" t="s">
        <v>4046</v>
      </c>
      <c r="Y321" t="s">
        <v>223</v>
      </c>
      <c r="Z321" t="s">
        <v>4004</v>
      </c>
      <c r="AA321" t="s">
        <v>112</v>
      </c>
      <c r="AC321" t="s">
        <v>71</v>
      </c>
      <c r="AD321" t="s">
        <v>417</v>
      </c>
      <c r="AE321" t="s">
        <v>181</v>
      </c>
      <c r="AG321" t="s">
        <v>289</v>
      </c>
      <c r="AH321" t="s">
        <v>2906</v>
      </c>
      <c r="AI321" t="s">
        <v>73</v>
      </c>
      <c r="AK321" t="s">
        <v>4047</v>
      </c>
      <c r="AL321" t="s">
        <v>4048</v>
      </c>
      <c r="AM321" t="s">
        <v>76</v>
      </c>
      <c r="AR321" t="s">
        <v>77</v>
      </c>
      <c r="AS321" t="s">
        <v>4049</v>
      </c>
      <c r="AT321" t="s">
        <v>4050</v>
      </c>
      <c r="AU321" t="s">
        <v>83</v>
      </c>
      <c r="AV321" t="s">
        <v>4051</v>
      </c>
    </row>
    <row r="322" spans="1:49">
      <c r="A322" t="str">
        <f>"17"</f>
        <v>17</v>
      </c>
      <c r="B322" t="s">
        <v>3982</v>
      </c>
      <c r="C322" t="str">
        <f>"1850"</f>
        <v>1850</v>
      </c>
      <c r="D322" t="s">
        <v>4052</v>
      </c>
      <c r="F322" t="s">
        <v>65</v>
      </c>
      <c r="G322" t="s">
        <v>116</v>
      </c>
      <c r="H322" t="s">
        <v>4053</v>
      </c>
      <c r="I322" t="s">
        <v>89</v>
      </c>
      <c r="J322" s="2" t="s">
        <v>4054</v>
      </c>
      <c r="K322" t="s">
        <v>4055</v>
      </c>
      <c r="L322" t="s">
        <v>60</v>
      </c>
      <c r="M322" t="s">
        <v>4056</v>
      </c>
      <c r="N322" t="s">
        <v>62</v>
      </c>
      <c r="O322" t="s">
        <v>4057</v>
      </c>
      <c r="P322" t="s">
        <v>4055</v>
      </c>
      <c r="S322" t="s">
        <v>4056</v>
      </c>
      <c r="T322" t="s">
        <v>62</v>
      </c>
      <c r="U322" t="str">
        <f>"07093"</f>
        <v>07093</v>
      </c>
      <c r="V322" t="str">
        <f>"2411"</f>
        <v>2411</v>
      </c>
      <c r="W322" t="s">
        <v>4058</v>
      </c>
      <c r="X322" t="s">
        <v>70</v>
      </c>
      <c r="Y322" t="s">
        <v>4059</v>
      </c>
      <c r="Z322" t="s">
        <v>4060</v>
      </c>
      <c r="AA322" t="s">
        <v>112</v>
      </c>
      <c r="AB322" t="s">
        <v>70</v>
      </c>
      <c r="AC322" t="s">
        <v>4061</v>
      </c>
      <c r="AD322" t="s">
        <v>4062</v>
      </c>
      <c r="AE322" t="s">
        <v>415</v>
      </c>
      <c r="AF322" t="s">
        <v>77</v>
      </c>
      <c r="AG322" t="s">
        <v>873</v>
      </c>
      <c r="AH322" t="s">
        <v>4063</v>
      </c>
      <c r="AI322" t="s">
        <v>73</v>
      </c>
      <c r="AJ322" t="s">
        <v>54</v>
      </c>
      <c r="AK322" t="s">
        <v>218</v>
      </c>
      <c r="AL322" t="s">
        <v>4064</v>
      </c>
      <c r="AM322" t="s">
        <v>76</v>
      </c>
      <c r="AR322" t="s">
        <v>77</v>
      </c>
      <c r="AS322" t="s">
        <v>697</v>
      </c>
      <c r="AT322" t="s">
        <v>4065</v>
      </c>
      <c r="AU322" t="s">
        <v>83</v>
      </c>
      <c r="AV322" t="s">
        <v>4066</v>
      </c>
      <c r="AW322" t="str">
        <f>"3406240"</f>
        <v>3406240</v>
      </c>
    </row>
    <row r="323" spans="1:49">
      <c r="A323" t="str">
        <f>"17"</f>
        <v>17</v>
      </c>
      <c r="B323" t="s">
        <v>3982</v>
      </c>
      <c r="C323" t="str">
        <f>"2060"</f>
        <v>2060</v>
      </c>
      <c r="D323" t="s">
        <v>4067</v>
      </c>
      <c r="F323" t="s">
        <v>54</v>
      </c>
      <c r="G323" t="s">
        <v>559</v>
      </c>
      <c r="H323" t="s">
        <v>4068</v>
      </c>
      <c r="I323" t="s">
        <v>1518</v>
      </c>
      <c r="J323" s="2" t="s">
        <v>4069</v>
      </c>
      <c r="K323" t="s">
        <v>4070</v>
      </c>
      <c r="L323" t="s">
        <v>60</v>
      </c>
      <c r="M323" t="s">
        <v>4071</v>
      </c>
      <c r="N323" t="s">
        <v>62</v>
      </c>
      <c r="O323" t="str">
        <f>"07029"</f>
        <v>07029</v>
      </c>
      <c r="P323" t="s">
        <v>4070</v>
      </c>
      <c r="S323" t="s">
        <v>4071</v>
      </c>
      <c r="T323" t="s">
        <v>62</v>
      </c>
      <c r="U323" t="str">
        <f>"07029"</f>
        <v>07029</v>
      </c>
      <c r="W323" t="s">
        <v>4072</v>
      </c>
      <c r="X323" t="s">
        <v>77</v>
      </c>
      <c r="Y323" t="s">
        <v>87</v>
      </c>
      <c r="Z323" t="s">
        <v>4073</v>
      </c>
      <c r="AA323" t="s">
        <v>68</v>
      </c>
      <c r="AB323" t="s">
        <v>70</v>
      </c>
      <c r="AC323" t="s">
        <v>4074</v>
      </c>
      <c r="AD323" t="s">
        <v>4075</v>
      </c>
      <c r="AE323" t="s">
        <v>98</v>
      </c>
      <c r="AF323" t="s">
        <v>70</v>
      </c>
      <c r="AG323" t="s">
        <v>55</v>
      </c>
      <c r="AH323" t="s">
        <v>4076</v>
      </c>
      <c r="AI323" t="s">
        <v>73</v>
      </c>
      <c r="AJ323" t="s">
        <v>77</v>
      </c>
      <c r="AK323" t="s">
        <v>994</v>
      </c>
      <c r="AL323" t="s">
        <v>1200</v>
      </c>
      <c r="AM323" t="s">
        <v>76</v>
      </c>
      <c r="AN323" t="s">
        <v>77</v>
      </c>
      <c r="AO323" t="s">
        <v>994</v>
      </c>
      <c r="AP323" t="s">
        <v>1200</v>
      </c>
      <c r="AQ323" t="s">
        <v>80</v>
      </c>
      <c r="AR323" t="s">
        <v>65</v>
      </c>
      <c r="AS323" t="s">
        <v>182</v>
      </c>
      <c r="AT323" t="s">
        <v>4077</v>
      </c>
      <c r="AU323" t="s">
        <v>83</v>
      </c>
      <c r="AV323" t="s">
        <v>4078</v>
      </c>
      <c r="AW323" t="str">
        <f>"3406870"</f>
        <v>3406870</v>
      </c>
    </row>
    <row r="324" spans="1:49">
      <c r="A324" t="str">
        <f>"80"</f>
        <v>80</v>
      </c>
      <c r="B324" t="s">
        <v>3982</v>
      </c>
      <c r="C324" t="str">
        <f>"6720"</f>
        <v>6720</v>
      </c>
      <c r="D324" t="s">
        <v>4079</v>
      </c>
      <c r="E324" t="str">
        <f>"930"</f>
        <v>930</v>
      </c>
      <c r="F324" t="s">
        <v>70</v>
      </c>
      <c r="G324" t="s">
        <v>4080</v>
      </c>
      <c r="H324" t="s">
        <v>4081</v>
      </c>
      <c r="I324" t="s">
        <v>128</v>
      </c>
      <c r="J324" s="2" t="s">
        <v>4082</v>
      </c>
      <c r="K324" t="s">
        <v>4083</v>
      </c>
      <c r="L324" t="s">
        <v>60</v>
      </c>
      <c r="M324" t="s">
        <v>4034</v>
      </c>
      <c r="N324" t="s">
        <v>62</v>
      </c>
      <c r="O324" t="str">
        <f>"07030"</f>
        <v>07030</v>
      </c>
      <c r="P324" t="s">
        <v>4083</v>
      </c>
      <c r="S324" t="s">
        <v>4034</v>
      </c>
      <c r="T324" t="s">
        <v>62</v>
      </c>
      <c r="U324" t="str">
        <f>"07030"</f>
        <v>07030</v>
      </c>
      <c r="W324" t="s">
        <v>4084</v>
      </c>
      <c r="X324" t="s">
        <v>77</v>
      </c>
      <c r="Y324" t="s">
        <v>136</v>
      </c>
      <c r="Z324" t="s">
        <v>4085</v>
      </c>
      <c r="AA324" t="s">
        <v>135</v>
      </c>
      <c r="AB324" t="s">
        <v>70</v>
      </c>
      <c r="AC324" t="s">
        <v>716</v>
      </c>
      <c r="AD324" t="s">
        <v>4086</v>
      </c>
      <c r="AE324" t="s">
        <v>98</v>
      </c>
      <c r="AF324" t="s">
        <v>70</v>
      </c>
      <c r="AG324" t="s">
        <v>957</v>
      </c>
      <c r="AH324" t="s">
        <v>1810</v>
      </c>
      <c r="AI324" t="s">
        <v>73</v>
      </c>
      <c r="AJ324" t="s">
        <v>77</v>
      </c>
      <c r="AK324" t="s">
        <v>1232</v>
      </c>
      <c r="AL324" t="s">
        <v>4087</v>
      </c>
      <c r="AM324" t="s">
        <v>76</v>
      </c>
      <c r="AN324" t="s">
        <v>77</v>
      </c>
      <c r="AO324" t="s">
        <v>287</v>
      </c>
      <c r="AP324" t="s">
        <v>4087</v>
      </c>
      <c r="AQ324" t="s">
        <v>80</v>
      </c>
      <c r="AR324" t="s">
        <v>70</v>
      </c>
      <c r="AS324" t="s">
        <v>1684</v>
      </c>
      <c r="AT324" t="s">
        <v>4088</v>
      </c>
      <c r="AU324" t="s">
        <v>83</v>
      </c>
      <c r="AV324" t="s">
        <v>4089</v>
      </c>
      <c r="AW324" t="str">
        <f>"3400032"</f>
        <v>3400032</v>
      </c>
    </row>
    <row r="325" spans="1:49">
      <c r="A325" t="str">
        <f>"80"</f>
        <v>80</v>
      </c>
      <c r="B325" t="s">
        <v>3982</v>
      </c>
      <c r="C325" t="str">
        <f>"6036"</f>
        <v>6036</v>
      </c>
      <c r="D325" t="s">
        <v>4090</v>
      </c>
      <c r="E325" t="str">
        <f>"921"</f>
        <v>921</v>
      </c>
      <c r="F325" t="s">
        <v>70</v>
      </c>
      <c r="G325" t="s">
        <v>155</v>
      </c>
      <c r="H325" t="s">
        <v>4091</v>
      </c>
      <c r="I325" t="s">
        <v>128</v>
      </c>
      <c r="J325" s="2" t="s">
        <v>4092</v>
      </c>
      <c r="K325" t="s">
        <v>4093</v>
      </c>
      <c r="L325" t="s">
        <v>60</v>
      </c>
      <c r="M325" t="s">
        <v>4034</v>
      </c>
      <c r="N325" t="s">
        <v>62</v>
      </c>
      <c r="O325" t="str">
        <f>"07030"</f>
        <v>07030</v>
      </c>
      <c r="P325" t="s">
        <v>4093</v>
      </c>
      <c r="S325" t="s">
        <v>4034</v>
      </c>
      <c r="T325" t="s">
        <v>62</v>
      </c>
      <c r="U325" t="str">
        <f>"07030"</f>
        <v>07030</v>
      </c>
      <c r="W325">
        <v>2014271458</v>
      </c>
      <c r="X325" t="s">
        <v>65</v>
      </c>
      <c r="Y325" t="s">
        <v>212</v>
      </c>
      <c r="Z325" t="s">
        <v>491</v>
      </c>
      <c r="AA325" t="s">
        <v>112</v>
      </c>
      <c r="AB325" t="s">
        <v>70</v>
      </c>
      <c r="AC325" t="s">
        <v>4094</v>
      </c>
      <c r="AD325" t="s">
        <v>4095</v>
      </c>
      <c r="AE325" t="s">
        <v>4096</v>
      </c>
      <c r="AF325" t="s">
        <v>70</v>
      </c>
      <c r="AG325" t="s">
        <v>155</v>
      </c>
      <c r="AH325" t="s">
        <v>4091</v>
      </c>
      <c r="AI325" t="s">
        <v>73</v>
      </c>
      <c r="AJ325" t="s">
        <v>70</v>
      </c>
      <c r="AK325" t="s">
        <v>4097</v>
      </c>
      <c r="AL325" t="s">
        <v>4098</v>
      </c>
      <c r="AM325" t="s">
        <v>76</v>
      </c>
      <c r="AN325" t="s">
        <v>77</v>
      </c>
      <c r="AO325" t="s">
        <v>4099</v>
      </c>
      <c r="AP325" t="s">
        <v>4100</v>
      </c>
      <c r="AQ325" t="s">
        <v>80</v>
      </c>
      <c r="AR325" t="s">
        <v>70</v>
      </c>
      <c r="AS325" t="s">
        <v>4097</v>
      </c>
      <c r="AT325" t="s">
        <v>4098</v>
      </c>
      <c r="AU325" t="s">
        <v>83</v>
      </c>
      <c r="AV325" t="s">
        <v>4101</v>
      </c>
      <c r="AW325" t="str">
        <f>"3400734"</f>
        <v>3400734</v>
      </c>
    </row>
    <row r="326" spans="1:49">
      <c r="A326" t="str">
        <f>"17"</f>
        <v>17</v>
      </c>
      <c r="B326" t="s">
        <v>3982</v>
      </c>
      <c r="C326" t="str">
        <f>"2210"</f>
        <v>2210</v>
      </c>
      <c r="D326" t="s">
        <v>4102</v>
      </c>
      <c r="F326" t="s">
        <v>65</v>
      </c>
      <c r="G326" t="s">
        <v>306</v>
      </c>
      <c r="H326" t="s">
        <v>2523</v>
      </c>
      <c r="I326" t="s">
        <v>57</v>
      </c>
      <c r="J326" s="2" t="s">
        <v>4103</v>
      </c>
      <c r="K326" t="s">
        <v>4104</v>
      </c>
      <c r="L326" t="s">
        <v>60</v>
      </c>
      <c r="M326" t="s">
        <v>4034</v>
      </c>
      <c r="N326" t="s">
        <v>62</v>
      </c>
      <c r="O326" t="str">
        <f>"07030"</f>
        <v>07030</v>
      </c>
      <c r="P326" t="s">
        <v>4104</v>
      </c>
      <c r="S326" t="s">
        <v>4034</v>
      </c>
      <c r="T326" t="s">
        <v>62</v>
      </c>
      <c r="U326" t="str">
        <f>"07030"</f>
        <v>07030</v>
      </c>
      <c r="W326" t="s">
        <v>4105</v>
      </c>
      <c r="X326" t="s">
        <v>54</v>
      </c>
      <c r="Y326" t="s">
        <v>4106</v>
      </c>
      <c r="Z326" t="s">
        <v>4107</v>
      </c>
      <c r="AA326" t="s">
        <v>135</v>
      </c>
      <c r="AB326" t="s">
        <v>65</v>
      </c>
      <c r="AC326" t="s">
        <v>4108</v>
      </c>
      <c r="AD326" t="s">
        <v>4109</v>
      </c>
      <c r="AE326" t="s">
        <v>98</v>
      </c>
      <c r="AF326" t="s">
        <v>65</v>
      </c>
      <c r="AG326" t="s">
        <v>4110</v>
      </c>
      <c r="AH326" t="s">
        <v>4111</v>
      </c>
      <c r="AI326" t="s">
        <v>73</v>
      </c>
      <c r="AJ326" t="s">
        <v>77</v>
      </c>
      <c r="AK326" t="s">
        <v>4112</v>
      </c>
      <c r="AL326" t="s">
        <v>4113</v>
      </c>
      <c r="AM326" t="s">
        <v>76</v>
      </c>
      <c r="AN326" t="s">
        <v>77</v>
      </c>
      <c r="AO326" t="s">
        <v>3427</v>
      </c>
      <c r="AP326" t="s">
        <v>4114</v>
      </c>
      <c r="AQ326" t="s">
        <v>80</v>
      </c>
      <c r="AR326" t="s">
        <v>77</v>
      </c>
      <c r="AS326" t="s">
        <v>273</v>
      </c>
      <c r="AT326" t="s">
        <v>182</v>
      </c>
      <c r="AU326" t="s">
        <v>83</v>
      </c>
      <c r="AV326" t="s">
        <v>4115</v>
      </c>
      <c r="AW326" t="str">
        <f>"3407350"</f>
        <v>3407350</v>
      </c>
    </row>
    <row r="327" spans="1:49">
      <c r="A327" t="str">
        <f>"80"</f>
        <v>80</v>
      </c>
      <c r="B327" t="s">
        <v>3982</v>
      </c>
      <c r="C327" t="str">
        <f>"6105"</f>
        <v>6105</v>
      </c>
      <c r="D327" t="s">
        <v>4116</v>
      </c>
      <c r="E327" t="str">
        <f>"996"</f>
        <v>996</v>
      </c>
      <c r="F327" t="s">
        <v>77</v>
      </c>
      <c r="G327" t="s">
        <v>4117</v>
      </c>
      <c r="H327" t="s">
        <v>4118</v>
      </c>
      <c r="I327" t="s">
        <v>128</v>
      </c>
      <c r="J327" s="2" t="s">
        <v>576</v>
      </c>
      <c r="K327" t="s">
        <v>4119</v>
      </c>
      <c r="L327" t="s">
        <v>60</v>
      </c>
      <c r="M327" t="s">
        <v>4120</v>
      </c>
      <c r="N327" t="s">
        <v>62</v>
      </c>
      <c r="O327" t="str">
        <f>"07032"</f>
        <v>07032</v>
      </c>
      <c r="P327" t="s">
        <v>579</v>
      </c>
      <c r="Q327" t="s">
        <v>580</v>
      </c>
      <c r="S327" t="s">
        <v>581</v>
      </c>
      <c r="T327" t="s">
        <v>62</v>
      </c>
      <c r="U327" t="str">
        <f>"07410"</f>
        <v>07410</v>
      </c>
      <c r="W327" t="s">
        <v>582</v>
      </c>
      <c r="X327" t="s">
        <v>77</v>
      </c>
      <c r="Y327" t="s">
        <v>583</v>
      </c>
      <c r="Z327" t="s">
        <v>584</v>
      </c>
      <c r="AA327" t="s">
        <v>135</v>
      </c>
      <c r="AB327" t="s">
        <v>54</v>
      </c>
      <c r="AC327" t="s">
        <v>585</v>
      </c>
      <c r="AD327" t="s">
        <v>586</v>
      </c>
      <c r="AE327" t="s">
        <v>587</v>
      </c>
      <c r="AF327" t="s">
        <v>54</v>
      </c>
      <c r="AG327" t="s">
        <v>585</v>
      </c>
      <c r="AH327" t="s">
        <v>586</v>
      </c>
      <c r="AI327" t="s">
        <v>73</v>
      </c>
      <c r="AJ327" t="s">
        <v>77</v>
      </c>
      <c r="AK327" t="s">
        <v>588</v>
      </c>
      <c r="AL327" t="s">
        <v>589</v>
      </c>
      <c r="AM327" t="s">
        <v>76</v>
      </c>
      <c r="AN327" t="s">
        <v>77</v>
      </c>
      <c r="AO327" t="s">
        <v>588</v>
      </c>
      <c r="AP327" t="s">
        <v>589</v>
      </c>
      <c r="AQ327" t="s">
        <v>80</v>
      </c>
      <c r="AR327" t="s">
        <v>77</v>
      </c>
      <c r="AS327" t="s">
        <v>590</v>
      </c>
      <c r="AT327" t="s">
        <v>213</v>
      </c>
      <c r="AU327" t="s">
        <v>83</v>
      </c>
      <c r="AV327" t="s">
        <v>4121</v>
      </c>
    </row>
    <row r="328" spans="1:49">
      <c r="A328" t="str">
        <f>"17"</f>
        <v>17</v>
      </c>
      <c r="B328" t="s">
        <v>3982</v>
      </c>
      <c r="C328" t="str">
        <f>"2295"</f>
        <v>2295</v>
      </c>
      <c r="D328" t="s">
        <v>4122</v>
      </c>
      <c r="F328" t="s">
        <v>70</v>
      </c>
      <c r="G328" t="s">
        <v>2012</v>
      </c>
      <c r="H328" t="s">
        <v>4123</v>
      </c>
      <c r="I328" t="s">
        <v>57</v>
      </c>
      <c r="J328" s="2" t="s">
        <v>4124</v>
      </c>
      <c r="K328" t="s">
        <v>4125</v>
      </c>
      <c r="L328" t="s">
        <v>60</v>
      </c>
      <c r="M328" t="s">
        <v>4126</v>
      </c>
      <c r="N328" t="s">
        <v>62</v>
      </c>
      <c r="O328" t="s">
        <v>4127</v>
      </c>
      <c r="P328" t="s">
        <v>4125</v>
      </c>
      <c r="S328" t="s">
        <v>4126</v>
      </c>
      <c r="T328" t="s">
        <v>62</v>
      </c>
      <c r="U328" t="str">
        <f>"07094"</f>
        <v>07094</v>
      </c>
      <c r="V328" t="str">
        <f>"1682"</f>
        <v>1682</v>
      </c>
      <c r="W328" t="s">
        <v>4128</v>
      </c>
      <c r="X328" t="s">
        <v>77</v>
      </c>
      <c r="Y328" t="s">
        <v>663</v>
      </c>
      <c r="Z328" t="s">
        <v>1468</v>
      </c>
      <c r="AA328" t="s">
        <v>112</v>
      </c>
      <c r="AB328" t="s">
        <v>70</v>
      </c>
      <c r="AC328" t="s">
        <v>2949</v>
      </c>
      <c r="AD328" t="s">
        <v>4129</v>
      </c>
      <c r="AE328" t="s">
        <v>415</v>
      </c>
      <c r="AF328" t="s">
        <v>70</v>
      </c>
      <c r="AG328" t="s">
        <v>447</v>
      </c>
      <c r="AH328" t="s">
        <v>4130</v>
      </c>
      <c r="AI328" t="s">
        <v>73</v>
      </c>
      <c r="AJ328" t="s">
        <v>70</v>
      </c>
      <c r="AK328" t="s">
        <v>4131</v>
      </c>
      <c r="AL328" t="s">
        <v>4132</v>
      </c>
      <c r="AM328" t="s">
        <v>76</v>
      </c>
      <c r="AN328" t="s">
        <v>70</v>
      </c>
      <c r="AO328" t="s">
        <v>4133</v>
      </c>
      <c r="AP328" t="s">
        <v>4134</v>
      </c>
      <c r="AQ328" t="s">
        <v>80</v>
      </c>
      <c r="AR328" t="s">
        <v>77</v>
      </c>
      <c r="AS328" t="s">
        <v>328</v>
      </c>
      <c r="AT328" t="s">
        <v>4135</v>
      </c>
      <c r="AU328" t="s">
        <v>83</v>
      </c>
      <c r="AV328" t="s">
        <v>4136</v>
      </c>
      <c r="AW328" t="str">
        <f>"3407570"</f>
        <v>3407570</v>
      </c>
    </row>
    <row r="329" spans="1:49">
      <c r="A329" t="str">
        <f>"80"</f>
        <v>80</v>
      </c>
      <c r="B329" t="s">
        <v>3982</v>
      </c>
      <c r="C329" t="str">
        <f>"6910"</f>
        <v>6910</v>
      </c>
      <c r="D329" t="s">
        <v>4137</v>
      </c>
      <c r="E329" t="str">
        <f>"940"</f>
        <v>940</v>
      </c>
      <c r="F329" t="s">
        <v>54</v>
      </c>
      <c r="G329" t="s">
        <v>4138</v>
      </c>
      <c r="H329" t="s">
        <v>4139</v>
      </c>
      <c r="I329" t="s">
        <v>128</v>
      </c>
      <c r="J329" s="2" t="s">
        <v>4140</v>
      </c>
      <c r="K329" t="s">
        <v>4141</v>
      </c>
      <c r="L329" t="s">
        <v>60</v>
      </c>
      <c r="M329" t="s">
        <v>4002</v>
      </c>
      <c r="N329" t="s">
        <v>62</v>
      </c>
      <c r="O329" t="str">
        <f>"07305"</f>
        <v>07305</v>
      </c>
      <c r="P329" t="s">
        <v>4141</v>
      </c>
      <c r="S329" t="s">
        <v>4002</v>
      </c>
      <c r="T329" t="s">
        <v>62</v>
      </c>
      <c r="U329" t="str">
        <f>"07305"</f>
        <v>07305</v>
      </c>
      <c r="W329" t="s">
        <v>4142</v>
      </c>
      <c r="X329" t="s">
        <v>70</v>
      </c>
      <c r="Y329" t="s">
        <v>4143</v>
      </c>
      <c r="Z329" t="s">
        <v>4144</v>
      </c>
      <c r="AA329" t="s">
        <v>135</v>
      </c>
      <c r="AB329" t="s">
        <v>70</v>
      </c>
      <c r="AC329" t="s">
        <v>3795</v>
      </c>
      <c r="AD329" t="s">
        <v>4145</v>
      </c>
      <c r="AE329" t="s">
        <v>913</v>
      </c>
      <c r="AF329" t="s">
        <v>70</v>
      </c>
      <c r="AG329" t="s">
        <v>4146</v>
      </c>
      <c r="AH329" t="s">
        <v>4147</v>
      </c>
      <c r="AI329" t="s">
        <v>73</v>
      </c>
      <c r="AJ329" t="s">
        <v>77</v>
      </c>
      <c r="AK329" t="s">
        <v>4148</v>
      </c>
      <c r="AL329" t="s">
        <v>4149</v>
      </c>
      <c r="AM329" t="s">
        <v>76</v>
      </c>
      <c r="AN329" t="s">
        <v>77</v>
      </c>
      <c r="AO329" t="s">
        <v>1099</v>
      </c>
      <c r="AP329" t="s">
        <v>1156</v>
      </c>
      <c r="AQ329" t="s">
        <v>80</v>
      </c>
      <c r="AR329" t="s">
        <v>70</v>
      </c>
      <c r="AS329" t="s">
        <v>4150</v>
      </c>
      <c r="AT329" t="s">
        <v>4151</v>
      </c>
      <c r="AU329" t="s">
        <v>83</v>
      </c>
      <c r="AV329" t="s">
        <v>4152</v>
      </c>
      <c r="AW329" t="str">
        <f>"3400033"</f>
        <v>3400033</v>
      </c>
    </row>
    <row r="330" spans="1:49">
      <c r="A330" t="str">
        <f>"80"</f>
        <v>80</v>
      </c>
      <c r="B330" t="s">
        <v>3982</v>
      </c>
      <c r="C330" t="str">
        <f>"6093"</f>
        <v>6093</v>
      </c>
      <c r="D330" t="s">
        <v>4153</v>
      </c>
      <c r="E330" t="str">
        <f>"981"</f>
        <v>981</v>
      </c>
      <c r="G330" t="s">
        <v>4154</v>
      </c>
      <c r="H330" t="s">
        <v>4155</v>
      </c>
      <c r="I330" t="s">
        <v>128</v>
      </c>
      <c r="J330" s="2" t="s">
        <v>4156</v>
      </c>
      <c r="K330" t="s">
        <v>4157</v>
      </c>
      <c r="L330" t="s">
        <v>60</v>
      </c>
      <c r="M330" t="s">
        <v>4002</v>
      </c>
      <c r="N330" t="s">
        <v>62</v>
      </c>
      <c r="O330" t="str">
        <f>"07307"</f>
        <v>07307</v>
      </c>
      <c r="P330" t="s">
        <v>4157</v>
      </c>
      <c r="S330" t="s">
        <v>4002</v>
      </c>
      <c r="T330" t="s">
        <v>62</v>
      </c>
      <c r="U330" t="str">
        <f>"07307"</f>
        <v>07307</v>
      </c>
      <c r="W330" t="s">
        <v>4158</v>
      </c>
      <c r="Y330" t="s">
        <v>3380</v>
      </c>
      <c r="Z330" t="s">
        <v>3381</v>
      </c>
      <c r="AA330" t="s">
        <v>112</v>
      </c>
      <c r="AB330" t="s">
        <v>77</v>
      </c>
      <c r="AC330" t="s">
        <v>4159</v>
      </c>
      <c r="AD330" t="s">
        <v>3617</v>
      </c>
      <c r="AE330" t="s">
        <v>181</v>
      </c>
      <c r="AF330" t="s">
        <v>54</v>
      </c>
      <c r="AG330" t="s">
        <v>4160</v>
      </c>
      <c r="AH330" t="s">
        <v>4161</v>
      </c>
      <c r="AI330" t="s">
        <v>73</v>
      </c>
      <c r="AJ330" t="s">
        <v>54</v>
      </c>
      <c r="AK330" t="s">
        <v>4160</v>
      </c>
      <c r="AL330" t="s">
        <v>4161</v>
      </c>
      <c r="AM330" t="s">
        <v>76</v>
      </c>
      <c r="AR330" t="s">
        <v>54</v>
      </c>
      <c r="AS330" t="s">
        <v>4160</v>
      </c>
      <c r="AT330" t="s">
        <v>4161</v>
      </c>
      <c r="AU330" t="s">
        <v>83</v>
      </c>
      <c r="AV330" t="s">
        <v>4162</v>
      </c>
    </row>
    <row r="331" spans="1:49">
      <c r="A331" t="str">
        <f>"80"</f>
        <v>80</v>
      </c>
      <c r="B331" t="s">
        <v>3982</v>
      </c>
      <c r="C331" t="str">
        <f>"6915"</f>
        <v>6915</v>
      </c>
      <c r="D331" t="s">
        <v>4163</v>
      </c>
      <c r="E331" t="str">
        <f>"950"</f>
        <v>950</v>
      </c>
      <c r="F331" t="s">
        <v>77</v>
      </c>
      <c r="G331" t="s">
        <v>212</v>
      </c>
      <c r="H331" t="s">
        <v>4164</v>
      </c>
      <c r="I331" t="s">
        <v>128</v>
      </c>
      <c r="J331" s="2" t="s">
        <v>4165</v>
      </c>
      <c r="K331" t="s">
        <v>4166</v>
      </c>
      <c r="L331" t="s">
        <v>60</v>
      </c>
      <c r="M331" t="s">
        <v>4002</v>
      </c>
      <c r="N331" t="s">
        <v>62</v>
      </c>
      <c r="O331" t="str">
        <f>"07306"</f>
        <v>07306</v>
      </c>
      <c r="P331" t="s">
        <v>4167</v>
      </c>
      <c r="S331" t="s">
        <v>4002</v>
      </c>
      <c r="T331" t="s">
        <v>62</v>
      </c>
      <c r="U331" t="str">
        <f>"07306"</f>
        <v>07306</v>
      </c>
      <c r="W331" t="s">
        <v>4168</v>
      </c>
      <c r="X331" t="s">
        <v>77</v>
      </c>
      <c r="Y331" t="s">
        <v>555</v>
      </c>
      <c r="Z331" t="s">
        <v>4169</v>
      </c>
      <c r="AA331" t="s">
        <v>68</v>
      </c>
      <c r="AB331" t="s">
        <v>70</v>
      </c>
      <c r="AC331" t="s">
        <v>96</v>
      </c>
      <c r="AD331" t="s">
        <v>4170</v>
      </c>
      <c r="AE331" t="s">
        <v>181</v>
      </c>
      <c r="AF331" t="s">
        <v>54</v>
      </c>
      <c r="AG331" t="s">
        <v>4171</v>
      </c>
      <c r="AH331" t="s">
        <v>744</v>
      </c>
      <c r="AI331" t="s">
        <v>73</v>
      </c>
      <c r="AJ331" t="s">
        <v>54</v>
      </c>
      <c r="AK331" t="s">
        <v>647</v>
      </c>
      <c r="AL331" t="s">
        <v>4172</v>
      </c>
      <c r="AM331" t="s">
        <v>76</v>
      </c>
      <c r="AN331" t="s">
        <v>77</v>
      </c>
      <c r="AO331" t="s">
        <v>4173</v>
      </c>
      <c r="AP331" t="s">
        <v>4174</v>
      </c>
      <c r="AQ331" t="s">
        <v>80</v>
      </c>
      <c r="AR331" t="s">
        <v>77</v>
      </c>
      <c r="AS331" t="s">
        <v>212</v>
      </c>
      <c r="AT331" t="s">
        <v>4164</v>
      </c>
      <c r="AU331" t="s">
        <v>83</v>
      </c>
      <c r="AV331" t="s">
        <v>4175</v>
      </c>
      <c r="AW331" t="str">
        <f>"3400034"</f>
        <v>3400034</v>
      </c>
    </row>
    <row r="332" spans="1:49">
      <c r="A332" t="str">
        <f>"17"</f>
        <v>17</v>
      </c>
      <c r="B332" t="s">
        <v>3982</v>
      </c>
      <c r="C332" t="str">
        <f>"2390"</f>
        <v>2390</v>
      </c>
      <c r="D332" t="s">
        <v>4176</v>
      </c>
      <c r="F332" t="s">
        <v>77</v>
      </c>
      <c r="G332" t="s">
        <v>1785</v>
      </c>
      <c r="H332" t="s">
        <v>4177</v>
      </c>
      <c r="I332" t="s">
        <v>89</v>
      </c>
      <c r="J332" s="2" t="s">
        <v>4178</v>
      </c>
      <c r="K332" t="s">
        <v>4179</v>
      </c>
      <c r="L332" t="s">
        <v>60</v>
      </c>
      <c r="M332" t="s">
        <v>4002</v>
      </c>
      <c r="N332" t="s">
        <v>62</v>
      </c>
      <c r="O332" t="s">
        <v>4180</v>
      </c>
      <c r="P332" t="s">
        <v>4179</v>
      </c>
      <c r="S332" t="s">
        <v>4002</v>
      </c>
      <c r="T332" t="s">
        <v>62</v>
      </c>
      <c r="U332" t="str">
        <f>"07305"</f>
        <v>07305</v>
      </c>
      <c r="V332" t="str">
        <f>"1634"</f>
        <v>1634</v>
      </c>
      <c r="W332" t="s">
        <v>4181</v>
      </c>
      <c r="X332" t="s">
        <v>70</v>
      </c>
      <c r="Y332" t="s">
        <v>2505</v>
      </c>
      <c r="Z332" t="s">
        <v>398</v>
      </c>
      <c r="AA332" t="s">
        <v>135</v>
      </c>
      <c r="AB332" t="s">
        <v>65</v>
      </c>
      <c r="AC332" t="s">
        <v>3619</v>
      </c>
      <c r="AD332" t="s">
        <v>4182</v>
      </c>
      <c r="AE332" t="s">
        <v>98</v>
      </c>
      <c r="AF332" t="s">
        <v>54</v>
      </c>
      <c r="AG332" t="s">
        <v>2775</v>
      </c>
      <c r="AH332" t="s">
        <v>4183</v>
      </c>
      <c r="AI332" t="s">
        <v>73</v>
      </c>
      <c r="AJ332" t="s">
        <v>77</v>
      </c>
      <c r="AK332" t="s">
        <v>358</v>
      </c>
      <c r="AL332" t="s">
        <v>4184</v>
      </c>
      <c r="AM332" t="s">
        <v>3429</v>
      </c>
      <c r="AN332" t="s">
        <v>77</v>
      </c>
      <c r="AO332" t="s">
        <v>4185</v>
      </c>
      <c r="AP332" t="s">
        <v>1866</v>
      </c>
      <c r="AQ332" t="s">
        <v>80</v>
      </c>
      <c r="AV332" t="s">
        <v>4186</v>
      </c>
      <c r="AW332" t="str">
        <f>"3407830"</f>
        <v>3407830</v>
      </c>
    </row>
    <row r="333" spans="1:49">
      <c r="A333" t="str">
        <f>"17"</f>
        <v>17</v>
      </c>
      <c r="B333" t="s">
        <v>3982</v>
      </c>
      <c r="C333" t="str">
        <f>"2410"</f>
        <v>2410</v>
      </c>
      <c r="D333" t="s">
        <v>4120</v>
      </c>
      <c r="F333" t="s">
        <v>54</v>
      </c>
      <c r="G333" t="s">
        <v>233</v>
      </c>
      <c r="H333" t="s">
        <v>4187</v>
      </c>
      <c r="I333" t="s">
        <v>57</v>
      </c>
      <c r="J333" s="2" t="s">
        <v>4188</v>
      </c>
      <c r="K333" t="s">
        <v>4189</v>
      </c>
      <c r="L333" t="s">
        <v>60</v>
      </c>
      <c r="M333" t="s">
        <v>4120</v>
      </c>
      <c r="N333" t="s">
        <v>62</v>
      </c>
      <c r="O333" t="str">
        <f>"07032"</f>
        <v>07032</v>
      </c>
      <c r="P333" t="s">
        <v>4189</v>
      </c>
      <c r="S333" t="s">
        <v>4120</v>
      </c>
      <c r="T333" t="s">
        <v>62</v>
      </c>
      <c r="U333" t="str">
        <f>"07032"</f>
        <v>07032</v>
      </c>
      <c r="W333" t="s">
        <v>4190</v>
      </c>
      <c r="X333" t="s">
        <v>77</v>
      </c>
      <c r="Y333" t="s">
        <v>223</v>
      </c>
      <c r="Z333" t="s">
        <v>4053</v>
      </c>
      <c r="AA333" t="s">
        <v>616</v>
      </c>
      <c r="AB333" t="s">
        <v>70</v>
      </c>
      <c r="AC333" t="s">
        <v>649</v>
      </c>
      <c r="AD333" t="s">
        <v>4191</v>
      </c>
      <c r="AE333" t="s">
        <v>98</v>
      </c>
      <c r="AF333" t="s">
        <v>70</v>
      </c>
      <c r="AG333" t="s">
        <v>204</v>
      </c>
      <c r="AH333" t="s">
        <v>4192</v>
      </c>
      <c r="AI333" t="s">
        <v>73</v>
      </c>
      <c r="AJ333" t="s">
        <v>70</v>
      </c>
      <c r="AK333" t="s">
        <v>3046</v>
      </c>
      <c r="AL333" t="s">
        <v>4193</v>
      </c>
      <c r="AM333" t="s">
        <v>76</v>
      </c>
      <c r="AN333" t="s">
        <v>77</v>
      </c>
      <c r="AO333" t="s">
        <v>4194</v>
      </c>
      <c r="AP333" t="s">
        <v>4195</v>
      </c>
      <c r="AQ333" t="s">
        <v>80</v>
      </c>
      <c r="AR333" t="s">
        <v>77</v>
      </c>
      <c r="AS333" t="s">
        <v>534</v>
      </c>
      <c r="AT333" t="s">
        <v>4196</v>
      </c>
      <c r="AU333" t="s">
        <v>83</v>
      </c>
      <c r="AV333" t="s">
        <v>4197</v>
      </c>
      <c r="AW333" t="str">
        <f>"3407890"</f>
        <v>3407890</v>
      </c>
    </row>
    <row r="334" spans="1:49">
      <c r="A334" t="str">
        <f>"17"</f>
        <v>17</v>
      </c>
      <c r="B334" t="s">
        <v>3982</v>
      </c>
      <c r="C334" t="str">
        <f>"3610"</f>
        <v>3610</v>
      </c>
      <c r="D334" t="s">
        <v>4198</v>
      </c>
      <c r="F334" t="s">
        <v>65</v>
      </c>
      <c r="G334" t="s">
        <v>1690</v>
      </c>
      <c r="H334" t="s">
        <v>4199</v>
      </c>
      <c r="I334" t="s">
        <v>89</v>
      </c>
      <c r="J334" s="2" t="s">
        <v>4200</v>
      </c>
      <c r="K334" t="s">
        <v>4201</v>
      </c>
      <c r="L334" t="s">
        <v>60</v>
      </c>
      <c r="M334" t="s">
        <v>4202</v>
      </c>
      <c r="N334" t="s">
        <v>62</v>
      </c>
      <c r="O334" t="str">
        <f>"07047"</f>
        <v>07047</v>
      </c>
      <c r="P334" t="s">
        <v>4201</v>
      </c>
      <c r="S334" t="s">
        <v>4202</v>
      </c>
      <c r="T334" t="s">
        <v>62</v>
      </c>
      <c r="U334" t="str">
        <f>"07047"</f>
        <v>07047</v>
      </c>
      <c r="W334" t="s">
        <v>4203</v>
      </c>
      <c r="X334" t="s">
        <v>77</v>
      </c>
      <c r="Y334" t="s">
        <v>534</v>
      </c>
      <c r="Z334" t="s">
        <v>4204</v>
      </c>
      <c r="AA334" t="s">
        <v>112</v>
      </c>
      <c r="AB334" t="s">
        <v>77</v>
      </c>
      <c r="AC334" t="s">
        <v>873</v>
      </c>
      <c r="AD334" t="s">
        <v>4205</v>
      </c>
      <c r="AE334" t="s">
        <v>115</v>
      </c>
      <c r="AF334" t="s">
        <v>77</v>
      </c>
      <c r="AG334" t="s">
        <v>373</v>
      </c>
      <c r="AH334" t="s">
        <v>4206</v>
      </c>
      <c r="AI334" t="s">
        <v>73</v>
      </c>
      <c r="AJ334" t="s">
        <v>70</v>
      </c>
      <c r="AK334" t="s">
        <v>2651</v>
      </c>
      <c r="AL334" t="s">
        <v>4207</v>
      </c>
      <c r="AM334" t="s">
        <v>76</v>
      </c>
      <c r="AN334" t="s">
        <v>77</v>
      </c>
      <c r="AO334" t="s">
        <v>87</v>
      </c>
      <c r="AP334" t="s">
        <v>1156</v>
      </c>
      <c r="AQ334" t="s">
        <v>80</v>
      </c>
      <c r="AR334" t="s">
        <v>77</v>
      </c>
      <c r="AS334" t="s">
        <v>1030</v>
      </c>
      <c r="AT334" t="s">
        <v>4204</v>
      </c>
      <c r="AU334" t="s">
        <v>83</v>
      </c>
      <c r="AV334" t="s">
        <v>4208</v>
      </c>
      <c r="AW334" t="str">
        <f>"3411460"</f>
        <v>3411460</v>
      </c>
    </row>
    <row r="335" spans="1:49">
      <c r="A335" t="str">
        <f>"17"</f>
        <v>17</v>
      </c>
      <c r="B335" t="s">
        <v>3982</v>
      </c>
      <c r="C335" t="str">
        <f>"4730"</f>
        <v>4730</v>
      </c>
      <c r="D335" t="s">
        <v>4209</v>
      </c>
      <c r="F335" t="s">
        <v>70</v>
      </c>
      <c r="G335" t="s">
        <v>155</v>
      </c>
      <c r="H335" t="s">
        <v>4210</v>
      </c>
      <c r="I335" t="s">
        <v>89</v>
      </c>
      <c r="J335" s="2" t="s">
        <v>4211</v>
      </c>
      <c r="K335" t="s">
        <v>4212</v>
      </c>
      <c r="L335" t="s">
        <v>60</v>
      </c>
      <c r="M335" t="s">
        <v>4213</v>
      </c>
      <c r="N335" t="s">
        <v>62</v>
      </c>
      <c r="O335" t="str">
        <f>"07094"</f>
        <v>07094</v>
      </c>
      <c r="P335" t="s">
        <v>4214</v>
      </c>
      <c r="S335" t="s">
        <v>4213</v>
      </c>
      <c r="T335" t="s">
        <v>62</v>
      </c>
      <c r="U335" t="str">
        <f>"07096"</f>
        <v>07096</v>
      </c>
      <c r="V335" t="str">
        <f>"1496"</f>
        <v>1496</v>
      </c>
      <c r="W335" t="s">
        <v>4215</v>
      </c>
      <c r="X335" t="s">
        <v>70</v>
      </c>
      <c r="Y335" t="s">
        <v>4216</v>
      </c>
      <c r="Z335" t="s">
        <v>4217</v>
      </c>
      <c r="AA335" t="s">
        <v>135</v>
      </c>
      <c r="AB335" t="s">
        <v>54</v>
      </c>
      <c r="AC335" t="s">
        <v>3415</v>
      </c>
      <c r="AD335" t="s">
        <v>4218</v>
      </c>
      <c r="AE335" t="s">
        <v>98</v>
      </c>
      <c r="AF335" t="s">
        <v>54</v>
      </c>
      <c r="AG335" t="s">
        <v>3415</v>
      </c>
      <c r="AH335" t="s">
        <v>4218</v>
      </c>
      <c r="AI335" t="s">
        <v>73</v>
      </c>
      <c r="AJ335" t="s">
        <v>54</v>
      </c>
      <c r="AK335" t="s">
        <v>3020</v>
      </c>
      <c r="AL335" t="s">
        <v>4219</v>
      </c>
      <c r="AM335" t="s">
        <v>76</v>
      </c>
      <c r="AN335" t="s">
        <v>65</v>
      </c>
      <c r="AO335" t="s">
        <v>4220</v>
      </c>
      <c r="AP335" t="s">
        <v>4221</v>
      </c>
      <c r="AQ335" t="s">
        <v>80</v>
      </c>
      <c r="AR335" t="s">
        <v>70</v>
      </c>
      <c r="AS335" t="s">
        <v>155</v>
      </c>
      <c r="AT335" t="s">
        <v>4210</v>
      </c>
      <c r="AU335" t="s">
        <v>83</v>
      </c>
      <c r="AV335" t="s">
        <v>4222</v>
      </c>
      <c r="AW335" t="str">
        <f>"3414850"</f>
        <v>3414850</v>
      </c>
    </row>
    <row r="336" spans="1:49">
      <c r="A336" t="str">
        <f>"80"</f>
        <v>80</v>
      </c>
      <c r="B336" t="s">
        <v>3982</v>
      </c>
      <c r="C336" t="str">
        <f>"7830"</f>
        <v>7830</v>
      </c>
      <c r="D336" t="s">
        <v>4223</v>
      </c>
      <c r="E336" t="str">
        <f>"980"</f>
        <v>980</v>
      </c>
      <c r="F336" t="s">
        <v>70</v>
      </c>
      <c r="G336" t="s">
        <v>746</v>
      </c>
      <c r="H336" t="s">
        <v>4224</v>
      </c>
      <c r="I336" t="s">
        <v>128</v>
      </c>
      <c r="J336" s="2" t="s">
        <v>4225</v>
      </c>
      <c r="K336" t="s">
        <v>4226</v>
      </c>
      <c r="L336" t="s">
        <v>60</v>
      </c>
      <c r="M336" t="s">
        <v>4002</v>
      </c>
      <c r="N336" t="s">
        <v>62</v>
      </c>
      <c r="O336" t="str">
        <f>"07305"</f>
        <v>07305</v>
      </c>
      <c r="P336" t="s">
        <v>4226</v>
      </c>
      <c r="S336" t="s">
        <v>4002</v>
      </c>
      <c r="T336" t="s">
        <v>62</v>
      </c>
      <c r="U336" t="str">
        <f>"07305"</f>
        <v>07305</v>
      </c>
      <c r="W336" t="s">
        <v>4227</v>
      </c>
      <c r="X336" t="s">
        <v>77</v>
      </c>
      <c r="Y336" t="s">
        <v>4228</v>
      </c>
      <c r="Z336" t="s">
        <v>4229</v>
      </c>
      <c r="AA336" t="s">
        <v>112</v>
      </c>
      <c r="AB336" t="s">
        <v>70</v>
      </c>
      <c r="AC336" t="s">
        <v>1510</v>
      </c>
      <c r="AD336" t="s">
        <v>4230</v>
      </c>
      <c r="AE336" t="s">
        <v>98</v>
      </c>
      <c r="AF336" t="s">
        <v>70</v>
      </c>
      <c r="AG336" t="s">
        <v>150</v>
      </c>
      <c r="AH336" t="s">
        <v>4231</v>
      </c>
      <c r="AI336" t="s">
        <v>73</v>
      </c>
      <c r="AJ336" t="s">
        <v>70</v>
      </c>
      <c r="AK336" t="s">
        <v>619</v>
      </c>
      <c r="AL336" t="s">
        <v>4232</v>
      </c>
      <c r="AM336" t="s">
        <v>76</v>
      </c>
      <c r="AN336" t="s">
        <v>70</v>
      </c>
      <c r="AO336" t="s">
        <v>619</v>
      </c>
      <c r="AP336" t="s">
        <v>4232</v>
      </c>
      <c r="AQ336" t="s">
        <v>80</v>
      </c>
      <c r="AR336" t="s">
        <v>70</v>
      </c>
      <c r="AS336" t="s">
        <v>619</v>
      </c>
      <c r="AT336" t="s">
        <v>4232</v>
      </c>
      <c r="AU336" t="s">
        <v>83</v>
      </c>
      <c r="AV336" t="s">
        <v>4233</v>
      </c>
      <c r="AW336" t="str">
        <f>"3400036"</f>
        <v>3400036</v>
      </c>
    </row>
    <row r="337" spans="1:49">
      <c r="A337" t="str">
        <f>"80"</f>
        <v>80</v>
      </c>
      <c r="B337" t="s">
        <v>3982</v>
      </c>
      <c r="C337" t="str">
        <f>"6030"</f>
        <v>6030</v>
      </c>
      <c r="D337" t="s">
        <v>4234</v>
      </c>
      <c r="E337" t="str">
        <f>"912"</f>
        <v>912</v>
      </c>
      <c r="F337" t="s">
        <v>54</v>
      </c>
      <c r="G337" t="s">
        <v>4235</v>
      </c>
      <c r="H337" t="s">
        <v>2530</v>
      </c>
      <c r="I337" t="s">
        <v>57</v>
      </c>
      <c r="J337" s="2" t="s">
        <v>4236</v>
      </c>
      <c r="K337" t="s">
        <v>4237</v>
      </c>
      <c r="L337" t="s">
        <v>60</v>
      </c>
      <c r="M337" t="s">
        <v>4002</v>
      </c>
      <c r="N337" t="s">
        <v>62</v>
      </c>
      <c r="O337" t="str">
        <f>"07306"</f>
        <v>07306</v>
      </c>
      <c r="P337" t="s">
        <v>4237</v>
      </c>
      <c r="S337" t="s">
        <v>4002</v>
      </c>
      <c r="T337" t="s">
        <v>62</v>
      </c>
      <c r="U337" t="str">
        <f>"07306"</f>
        <v>07306</v>
      </c>
      <c r="W337">
        <v>2019844151</v>
      </c>
      <c r="X337" t="s">
        <v>70</v>
      </c>
      <c r="Y337" t="s">
        <v>4238</v>
      </c>
      <c r="Z337" t="s">
        <v>1247</v>
      </c>
      <c r="AA337" t="s">
        <v>112</v>
      </c>
      <c r="AB337" t="s">
        <v>54</v>
      </c>
      <c r="AC337" t="s">
        <v>4239</v>
      </c>
      <c r="AD337" t="s">
        <v>3032</v>
      </c>
      <c r="AE337" t="s">
        <v>181</v>
      </c>
      <c r="AF337" t="s">
        <v>70</v>
      </c>
      <c r="AG337" t="s">
        <v>4240</v>
      </c>
      <c r="AH337" t="s">
        <v>4241</v>
      </c>
      <c r="AI337" t="s">
        <v>73</v>
      </c>
      <c r="AJ337" t="s">
        <v>70</v>
      </c>
      <c r="AK337" t="s">
        <v>716</v>
      </c>
      <c r="AL337" t="s">
        <v>3567</v>
      </c>
      <c r="AM337" t="s">
        <v>76</v>
      </c>
      <c r="AN337" t="s">
        <v>70</v>
      </c>
      <c r="AO337" t="s">
        <v>4242</v>
      </c>
      <c r="AP337" t="s">
        <v>4243</v>
      </c>
      <c r="AQ337" t="s">
        <v>80</v>
      </c>
      <c r="AR337" t="s">
        <v>70</v>
      </c>
      <c r="AS337" t="s">
        <v>4235</v>
      </c>
      <c r="AT337" t="s">
        <v>4244</v>
      </c>
      <c r="AU337" t="s">
        <v>83</v>
      </c>
      <c r="AV337" t="s">
        <v>4245</v>
      </c>
      <c r="AW337" t="str">
        <f>"3400727"</f>
        <v>3400727</v>
      </c>
    </row>
    <row r="338" spans="1:49">
      <c r="A338" t="str">
        <f>"80"</f>
        <v>80</v>
      </c>
      <c r="B338" t="s">
        <v>3982</v>
      </c>
      <c r="C338" t="str">
        <f>"7115"</f>
        <v>7115</v>
      </c>
      <c r="D338" t="s">
        <v>4246</v>
      </c>
      <c r="E338" t="str">
        <f>"960"</f>
        <v>960</v>
      </c>
      <c r="F338" t="s">
        <v>77</v>
      </c>
      <c r="G338" t="s">
        <v>343</v>
      </c>
      <c r="H338" t="s">
        <v>3899</v>
      </c>
      <c r="I338" t="s">
        <v>57</v>
      </c>
      <c r="J338" s="2" t="s">
        <v>4247</v>
      </c>
      <c r="K338" t="s">
        <v>4248</v>
      </c>
      <c r="L338" t="s">
        <v>60</v>
      </c>
      <c r="M338" t="s">
        <v>4002</v>
      </c>
      <c r="N338" t="s">
        <v>62</v>
      </c>
      <c r="O338" t="str">
        <f>"07304"</f>
        <v>07304</v>
      </c>
      <c r="P338" t="s">
        <v>4248</v>
      </c>
      <c r="S338" t="s">
        <v>4002</v>
      </c>
      <c r="T338" t="s">
        <v>62</v>
      </c>
      <c r="U338" t="str">
        <f>"07304"</f>
        <v>07304</v>
      </c>
      <c r="W338" t="s">
        <v>4249</v>
      </c>
      <c r="X338" t="s">
        <v>65</v>
      </c>
      <c r="Y338" t="s">
        <v>212</v>
      </c>
      <c r="Z338" t="s">
        <v>491</v>
      </c>
      <c r="AA338" t="s">
        <v>112</v>
      </c>
      <c r="AB338" t="s">
        <v>70</v>
      </c>
      <c r="AC338" t="s">
        <v>716</v>
      </c>
      <c r="AD338" t="s">
        <v>4250</v>
      </c>
      <c r="AE338" t="s">
        <v>181</v>
      </c>
      <c r="AF338" t="s">
        <v>77</v>
      </c>
      <c r="AG338" t="s">
        <v>559</v>
      </c>
      <c r="AH338" t="s">
        <v>4251</v>
      </c>
      <c r="AI338" t="s">
        <v>73</v>
      </c>
      <c r="AJ338" t="s">
        <v>70</v>
      </c>
      <c r="AK338" t="s">
        <v>559</v>
      </c>
      <c r="AL338" t="s">
        <v>4252</v>
      </c>
      <c r="AM338" t="s">
        <v>76</v>
      </c>
      <c r="AN338" t="s">
        <v>70</v>
      </c>
      <c r="AO338" t="s">
        <v>251</v>
      </c>
      <c r="AP338" t="s">
        <v>824</v>
      </c>
      <c r="AQ338" t="s">
        <v>80</v>
      </c>
      <c r="AR338" t="s">
        <v>77</v>
      </c>
      <c r="AS338" t="s">
        <v>4007</v>
      </c>
      <c r="AT338" t="s">
        <v>4253</v>
      </c>
      <c r="AU338" t="s">
        <v>83</v>
      </c>
      <c r="AV338" t="s">
        <v>4254</v>
      </c>
      <c r="AW338" t="str">
        <f>"3400035"</f>
        <v>3400035</v>
      </c>
    </row>
    <row r="339" spans="1:49">
      <c r="A339" t="str">
        <f>"17"</f>
        <v>17</v>
      </c>
      <c r="B339" t="s">
        <v>3982</v>
      </c>
      <c r="C339" t="str">
        <f>"5240"</f>
        <v>5240</v>
      </c>
      <c r="D339" t="s">
        <v>4255</v>
      </c>
      <c r="F339" t="s">
        <v>54</v>
      </c>
      <c r="G339" t="s">
        <v>1630</v>
      </c>
      <c r="H339" t="s">
        <v>4256</v>
      </c>
      <c r="I339" t="s">
        <v>89</v>
      </c>
      <c r="J339" s="2" t="s">
        <v>4257</v>
      </c>
      <c r="K339" t="s">
        <v>4258</v>
      </c>
      <c r="L339" t="s">
        <v>60</v>
      </c>
      <c r="M339" t="s">
        <v>4259</v>
      </c>
      <c r="N339" t="s">
        <v>62</v>
      </c>
      <c r="O339" t="str">
        <f>"07087"</f>
        <v>07087</v>
      </c>
      <c r="P339" t="s">
        <v>4258</v>
      </c>
      <c r="S339" t="s">
        <v>4259</v>
      </c>
      <c r="T339" t="s">
        <v>62</v>
      </c>
      <c r="U339" t="str">
        <f>"07087"</f>
        <v>07087</v>
      </c>
      <c r="W339" t="s">
        <v>4260</v>
      </c>
      <c r="X339" t="s">
        <v>65</v>
      </c>
      <c r="Y339" t="s">
        <v>166</v>
      </c>
      <c r="Z339" t="s">
        <v>4261</v>
      </c>
      <c r="AA339" t="s">
        <v>112</v>
      </c>
      <c r="AB339" t="s">
        <v>54</v>
      </c>
      <c r="AC339" t="s">
        <v>4262</v>
      </c>
      <c r="AD339" t="s">
        <v>4263</v>
      </c>
      <c r="AE339" t="s">
        <v>587</v>
      </c>
      <c r="AF339" t="s">
        <v>54</v>
      </c>
      <c r="AG339" t="s">
        <v>4264</v>
      </c>
      <c r="AH339" t="s">
        <v>4265</v>
      </c>
      <c r="AI339" t="s">
        <v>73</v>
      </c>
      <c r="AJ339" t="s">
        <v>77</v>
      </c>
      <c r="AK339" t="s">
        <v>1690</v>
      </c>
      <c r="AL339" t="s">
        <v>4266</v>
      </c>
      <c r="AM339" t="s">
        <v>76</v>
      </c>
      <c r="AN339" t="s">
        <v>77</v>
      </c>
      <c r="AO339" t="s">
        <v>328</v>
      </c>
      <c r="AP339" t="s">
        <v>4267</v>
      </c>
      <c r="AQ339" t="s">
        <v>80</v>
      </c>
      <c r="AR339" t="s">
        <v>77</v>
      </c>
      <c r="AS339" t="s">
        <v>223</v>
      </c>
      <c r="AT339" t="s">
        <v>4268</v>
      </c>
      <c r="AU339" t="s">
        <v>83</v>
      </c>
      <c r="AV339" t="s">
        <v>4269</v>
      </c>
      <c r="AW339" t="str">
        <f>"3416380"</f>
        <v>3416380</v>
      </c>
    </row>
    <row r="340" spans="1:49">
      <c r="A340" t="str">
        <f>"80"</f>
        <v>80</v>
      </c>
      <c r="B340" t="s">
        <v>3982</v>
      </c>
      <c r="C340" t="str">
        <f>"8060"</f>
        <v>8060</v>
      </c>
      <c r="D340" t="s">
        <v>4270</v>
      </c>
      <c r="E340" t="str">
        <f>"990"</f>
        <v>990</v>
      </c>
      <c r="F340" t="s">
        <v>77</v>
      </c>
      <c r="G340" t="s">
        <v>4271</v>
      </c>
      <c r="H340" t="s">
        <v>4272</v>
      </c>
      <c r="I340" t="s">
        <v>128</v>
      </c>
      <c r="J340" s="2" t="s">
        <v>4273</v>
      </c>
      <c r="K340" t="s">
        <v>4274</v>
      </c>
      <c r="L340" t="s">
        <v>60</v>
      </c>
      <c r="M340" t="s">
        <v>4002</v>
      </c>
      <c r="N340" t="s">
        <v>62</v>
      </c>
      <c r="O340" t="str">
        <f>"07305"</f>
        <v>07305</v>
      </c>
      <c r="P340" t="s">
        <v>4274</v>
      </c>
      <c r="S340" t="s">
        <v>4002</v>
      </c>
      <c r="T340" t="s">
        <v>62</v>
      </c>
      <c r="U340" t="str">
        <f>"07305"</f>
        <v>07305</v>
      </c>
      <c r="W340" t="s">
        <v>4275</v>
      </c>
      <c r="X340" t="s">
        <v>77</v>
      </c>
      <c r="Y340" t="s">
        <v>663</v>
      </c>
      <c r="Z340" t="s">
        <v>4276</v>
      </c>
      <c r="AA340" t="s">
        <v>112</v>
      </c>
      <c r="AB340" t="s">
        <v>70</v>
      </c>
      <c r="AC340" t="s">
        <v>4277</v>
      </c>
      <c r="AD340" t="s">
        <v>3702</v>
      </c>
      <c r="AE340" t="s">
        <v>181</v>
      </c>
      <c r="AF340" t="s">
        <v>70</v>
      </c>
      <c r="AG340" t="s">
        <v>291</v>
      </c>
      <c r="AH340" t="s">
        <v>2694</v>
      </c>
      <c r="AI340" t="s">
        <v>73</v>
      </c>
      <c r="AJ340" t="s">
        <v>77</v>
      </c>
      <c r="AK340" t="s">
        <v>3020</v>
      </c>
      <c r="AL340" t="s">
        <v>4278</v>
      </c>
      <c r="AM340" t="s">
        <v>76</v>
      </c>
      <c r="AN340" t="s">
        <v>77</v>
      </c>
      <c r="AO340" t="s">
        <v>4279</v>
      </c>
      <c r="AP340" t="s">
        <v>4280</v>
      </c>
      <c r="AQ340" t="s">
        <v>80</v>
      </c>
      <c r="AR340" t="s">
        <v>54</v>
      </c>
      <c r="AS340" t="s">
        <v>291</v>
      </c>
      <c r="AT340" t="s">
        <v>2694</v>
      </c>
      <c r="AU340" t="s">
        <v>83</v>
      </c>
      <c r="AV340" t="s">
        <v>4281</v>
      </c>
      <c r="AW340" t="str">
        <f>"3400073"</f>
        <v>3400073</v>
      </c>
    </row>
    <row r="341" spans="1:49">
      <c r="A341" t="str">
        <f>"17"</f>
        <v>17</v>
      </c>
      <c r="B341" t="s">
        <v>3982</v>
      </c>
      <c r="C341" t="str">
        <f>"5580"</f>
        <v>5580</v>
      </c>
      <c r="D341" t="s">
        <v>4282</v>
      </c>
      <c r="F341" t="s">
        <v>77</v>
      </c>
      <c r="G341" t="s">
        <v>1418</v>
      </c>
      <c r="H341" t="s">
        <v>4283</v>
      </c>
      <c r="I341" t="s">
        <v>89</v>
      </c>
      <c r="J341" s="2" t="s">
        <v>4284</v>
      </c>
      <c r="K341" t="s">
        <v>4285</v>
      </c>
      <c r="L341" t="s">
        <v>4286</v>
      </c>
      <c r="M341" t="s">
        <v>4287</v>
      </c>
      <c r="N341" t="s">
        <v>62</v>
      </c>
      <c r="O341" t="str">
        <f>"07086"</f>
        <v>07086</v>
      </c>
      <c r="P341" t="s">
        <v>4285</v>
      </c>
      <c r="Q341" t="s">
        <v>4288</v>
      </c>
      <c r="S341" t="s">
        <v>4287</v>
      </c>
      <c r="T341" t="s">
        <v>62</v>
      </c>
      <c r="U341" t="str">
        <f>"07086"</f>
        <v>07086</v>
      </c>
      <c r="W341" t="s">
        <v>4289</v>
      </c>
      <c r="X341" t="s">
        <v>77</v>
      </c>
      <c r="Y341" t="s">
        <v>281</v>
      </c>
      <c r="Z341" t="s">
        <v>4290</v>
      </c>
      <c r="AA341" t="s">
        <v>135</v>
      </c>
      <c r="AB341" t="s">
        <v>77</v>
      </c>
      <c r="AC341" t="s">
        <v>4291</v>
      </c>
      <c r="AD341" t="s">
        <v>4292</v>
      </c>
      <c r="AE341" t="s">
        <v>69</v>
      </c>
      <c r="AF341" t="s">
        <v>70</v>
      </c>
      <c r="AG341" t="s">
        <v>4293</v>
      </c>
      <c r="AH341" t="s">
        <v>714</v>
      </c>
      <c r="AI341" t="s">
        <v>73</v>
      </c>
      <c r="AJ341" t="s">
        <v>54</v>
      </c>
      <c r="AK341" t="s">
        <v>1085</v>
      </c>
      <c r="AL341" t="s">
        <v>4294</v>
      </c>
      <c r="AM341" t="s">
        <v>76</v>
      </c>
      <c r="AN341" t="s">
        <v>77</v>
      </c>
      <c r="AO341" t="s">
        <v>212</v>
      </c>
      <c r="AP341" t="s">
        <v>4295</v>
      </c>
      <c r="AQ341" t="s">
        <v>80</v>
      </c>
      <c r="AR341" t="s">
        <v>77</v>
      </c>
      <c r="AS341" t="s">
        <v>873</v>
      </c>
      <c r="AT341" t="s">
        <v>4296</v>
      </c>
      <c r="AU341" t="s">
        <v>83</v>
      </c>
      <c r="AV341" t="s">
        <v>4297</v>
      </c>
      <c r="AW341" t="str">
        <f>"3417310"</f>
        <v>3417310</v>
      </c>
    </row>
    <row r="342" spans="1:49">
      <c r="A342" t="str">
        <f>"17"</f>
        <v>17</v>
      </c>
      <c r="B342" t="s">
        <v>3982</v>
      </c>
      <c r="C342" t="str">
        <f>"5670"</f>
        <v>5670</v>
      </c>
      <c r="D342" t="s">
        <v>4298</v>
      </c>
      <c r="F342" t="s">
        <v>70</v>
      </c>
      <c r="G342" t="s">
        <v>4299</v>
      </c>
      <c r="H342" t="s">
        <v>4300</v>
      </c>
      <c r="I342" t="s">
        <v>89</v>
      </c>
      <c r="J342" s="2" t="s">
        <v>4301</v>
      </c>
      <c r="K342" t="s">
        <v>4302</v>
      </c>
      <c r="L342" t="s">
        <v>60</v>
      </c>
      <c r="M342" t="s">
        <v>4303</v>
      </c>
      <c r="N342" t="s">
        <v>62</v>
      </c>
      <c r="O342" t="s">
        <v>4304</v>
      </c>
      <c r="P342" t="s">
        <v>4302</v>
      </c>
      <c r="S342" t="s">
        <v>4303</v>
      </c>
      <c r="T342" t="s">
        <v>62</v>
      </c>
      <c r="U342" t="str">
        <f>"07093"</f>
        <v>07093</v>
      </c>
      <c r="V342" t="str">
        <f>"2808"</f>
        <v>2808</v>
      </c>
      <c r="W342" t="s">
        <v>4305</v>
      </c>
      <c r="X342" t="s">
        <v>77</v>
      </c>
      <c r="Y342" t="s">
        <v>4306</v>
      </c>
      <c r="Z342" t="s">
        <v>1823</v>
      </c>
      <c r="AA342" t="s">
        <v>135</v>
      </c>
      <c r="AB342" t="s">
        <v>77</v>
      </c>
      <c r="AC342" t="s">
        <v>4239</v>
      </c>
      <c r="AD342" t="s">
        <v>4307</v>
      </c>
      <c r="AE342" t="s">
        <v>868</v>
      </c>
      <c r="AF342" t="s">
        <v>70</v>
      </c>
      <c r="AG342" t="s">
        <v>4308</v>
      </c>
      <c r="AH342" t="s">
        <v>4309</v>
      </c>
      <c r="AI342" t="s">
        <v>73</v>
      </c>
      <c r="AJ342" t="s">
        <v>70</v>
      </c>
      <c r="AK342" t="s">
        <v>3020</v>
      </c>
      <c r="AL342" t="s">
        <v>4310</v>
      </c>
      <c r="AM342" t="s">
        <v>76</v>
      </c>
      <c r="AN342" t="s">
        <v>77</v>
      </c>
      <c r="AO342" t="s">
        <v>4311</v>
      </c>
      <c r="AP342" t="s">
        <v>4312</v>
      </c>
      <c r="AQ342" t="s">
        <v>80</v>
      </c>
      <c r="AR342" t="s">
        <v>77</v>
      </c>
      <c r="AS342" t="s">
        <v>436</v>
      </c>
      <c r="AT342" t="s">
        <v>4313</v>
      </c>
      <c r="AU342" t="s">
        <v>83</v>
      </c>
      <c r="AV342" t="s">
        <v>4314</v>
      </c>
      <c r="AW342" t="str">
        <f>"3417580"</f>
        <v>3417580</v>
      </c>
    </row>
    <row r="343" spans="1:49">
      <c r="A343" t="str">
        <f t="shared" ref="A343:A369" si="14">"19"</f>
        <v>19</v>
      </c>
      <c r="B343" t="s">
        <v>4315</v>
      </c>
      <c r="C343" t="str">
        <f>"0020"</f>
        <v>0020</v>
      </c>
      <c r="D343" t="s">
        <v>4316</v>
      </c>
      <c r="F343" t="s">
        <v>77</v>
      </c>
      <c r="G343" t="s">
        <v>367</v>
      </c>
      <c r="H343" t="s">
        <v>4317</v>
      </c>
      <c r="I343" t="s">
        <v>57</v>
      </c>
      <c r="J343" s="2" t="s">
        <v>4318</v>
      </c>
      <c r="K343" t="s">
        <v>4319</v>
      </c>
      <c r="L343" t="s">
        <v>60</v>
      </c>
      <c r="M343" t="s">
        <v>4320</v>
      </c>
      <c r="N343" t="s">
        <v>62</v>
      </c>
      <c r="O343" t="str">
        <f>"08867"</f>
        <v>08867</v>
      </c>
      <c r="P343" t="s">
        <v>4319</v>
      </c>
      <c r="S343" t="s">
        <v>4320</v>
      </c>
      <c r="T343" t="s">
        <v>62</v>
      </c>
      <c r="U343" t="str">
        <f>"08867"</f>
        <v>08867</v>
      </c>
      <c r="W343" t="s">
        <v>4321</v>
      </c>
      <c r="X343" t="s">
        <v>77</v>
      </c>
      <c r="Y343" t="s">
        <v>212</v>
      </c>
      <c r="Z343" t="s">
        <v>4322</v>
      </c>
      <c r="AA343" t="s">
        <v>135</v>
      </c>
      <c r="AB343" t="s">
        <v>70</v>
      </c>
      <c r="AC343" t="s">
        <v>155</v>
      </c>
      <c r="AD343" t="s">
        <v>4323</v>
      </c>
      <c r="AE343" t="s">
        <v>587</v>
      </c>
      <c r="AF343" t="s">
        <v>70</v>
      </c>
      <c r="AG343" t="s">
        <v>155</v>
      </c>
      <c r="AH343" t="s">
        <v>4323</v>
      </c>
      <c r="AI343" t="s">
        <v>73</v>
      </c>
      <c r="AJ343" t="s">
        <v>65</v>
      </c>
      <c r="AK343" t="s">
        <v>4324</v>
      </c>
      <c r="AL343" t="s">
        <v>4325</v>
      </c>
      <c r="AM343" t="s">
        <v>76</v>
      </c>
      <c r="AR343" t="s">
        <v>77</v>
      </c>
      <c r="AS343" t="s">
        <v>367</v>
      </c>
      <c r="AT343" t="s">
        <v>4317</v>
      </c>
      <c r="AU343" t="s">
        <v>83</v>
      </c>
      <c r="AV343" t="s">
        <v>4326</v>
      </c>
      <c r="AW343" t="str">
        <f>"3400690"</f>
        <v>3400690</v>
      </c>
    </row>
    <row r="344" spans="1:49">
      <c r="A344" t="str">
        <f t="shared" si="14"/>
        <v>19</v>
      </c>
      <c r="B344" t="s">
        <v>4315</v>
      </c>
      <c r="C344" t="str">
        <f>"0370"</f>
        <v>0370</v>
      </c>
      <c r="D344" t="s">
        <v>4327</v>
      </c>
      <c r="F344" t="s">
        <v>65</v>
      </c>
      <c r="G344" t="s">
        <v>3427</v>
      </c>
      <c r="H344" t="s">
        <v>4328</v>
      </c>
      <c r="I344" t="s">
        <v>57</v>
      </c>
      <c r="J344" s="2" t="s">
        <v>4329</v>
      </c>
      <c r="K344" t="s">
        <v>4330</v>
      </c>
      <c r="L344" t="s">
        <v>60</v>
      </c>
      <c r="M344" t="s">
        <v>4331</v>
      </c>
      <c r="N344" t="s">
        <v>62</v>
      </c>
      <c r="O344" t="str">
        <f>"08802"</f>
        <v>08802</v>
      </c>
      <c r="P344" t="s">
        <v>4330</v>
      </c>
      <c r="S344" t="s">
        <v>4331</v>
      </c>
      <c r="T344" t="s">
        <v>62</v>
      </c>
      <c r="U344" t="str">
        <f>"08802"</f>
        <v>08802</v>
      </c>
      <c r="W344" t="s">
        <v>4332</v>
      </c>
      <c r="X344" t="s">
        <v>54</v>
      </c>
      <c r="Y344" t="s">
        <v>1688</v>
      </c>
      <c r="Z344" t="s">
        <v>4333</v>
      </c>
      <c r="AA344" t="s">
        <v>135</v>
      </c>
      <c r="AB344" t="s">
        <v>54</v>
      </c>
      <c r="AC344" t="s">
        <v>4334</v>
      </c>
      <c r="AD344" t="s">
        <v>4335</v>
      </c>
      <c r="AE344" t="s">
        <v>415</v>
      </c>
      <c r="AF344" t="s">
        <v>54</v>
      </c>
      <c r="AG344" t="s">
        <v>4334</v>
      </c>
      <c r="AH344" t="s">
        <v>4335</v>
      </c>
      <c r="AI344" t="s">
        <v>73</v>
      </c>
      <c r="AJ344" t="s">
        <v>70</v>
      </c>
      <c r="AK344" t="s">
        <v>2980</v>
      </c>
      <c r="AL344" t="s">
        <v>824</v>
      </c>
      <c r="AM344" t="s">
        <v>76</v>
      </c>
      <c r="AN344" t="s">
        <v>70</v>
      </c>
      <c r="AO344" t="s">
        <v>150</v>
      </c>
      <c r="AP344" t="s">
        <v>222</v>
      </c>
      <c r="AQ344" t="s">
        <v>80</v>
      </c>
      <c r="AR344" t="s">
        <v>54</v>
      </c>
      <c r="AS344" t="s">
        <v>4336</v>
      </c>
      <c r="AT344" t="s">
        <v>4337</v>
      </c>
      <c r="AU344" t="s">
        <v>83</v>
      </c>
      <c r="AV344" t="s">
        <v>4338</v>
      </c>
      <c r="AW344" t="str">
        <f>"3401710"</f>
        <v>3401710</v>
      </c>
    </row>
    <row r="345" spans="1:49">
      <c r="A345" t="str">
        <f t="shared" si="14"/>
        <v>19</v>
      </c>
      <c r="B345" t="s">
        <v>4315</v>
      </c>
      <c r="C345" t="str">
        <f>"0430"</f>
        <v>0430</v>
      </c>
      <c r="D345" t="s">
        <v>4339</v>
      </c>
      <c r="F345" t="s">
        <v>65</v>
      </c>
      <c r="G345" t="s">
        <v>4340</v>
      </c>
      <c r="H345" t="s">
        <v>4341</v>
      </c>
      <c r="I345" t="s">
        <v>89</v>
      </c>
      <c r="J345" s="2" t="s">
        <v>4342</v>
      </c>
      <c r="K345" t="s">
        <v>4343</v>
      </c>
      <c r="L345" t="s">
        <v>60</v>
      </c>
      <c r="M345" t="s">
        <v>4344</v>
      </c>
      <c r="N345" t="s">
        <v>62</v>
      </c>
      <c r="O345" t="str">
        <f>"08804"</f>
        <v>08804</v>
      </c>
      <c r="P345" t="s">
        <v>4343</v>
      </c>
      <c r="S345" t="s">
        <v>4344</v>
      </c>
      <c r="T345" t="s">
        <v>62</v>
      </c>
      <c r="U345" t="str">
        <f>"08804"</f>
        <v>08804</v>
      </c>
      <c r="W345" t="s">
        <v>4345</v>
      </c>
      <c r="X345" t="s">
        <v>77</v>
      </c>
      <c r="Y345" t="s">
        <v>4346</v>
      </c>
      <c r="Z345" t="s">
        <v>4347</v>
      </c>
      <c r="AA345" t="s">
        <v>135</v>
      </c>
      <c r="AB345" t="s">
        <v>70</v>
      </c>
      <c r="AC345" t="s">
        <v>1353</v>
      </c>
      <c r="AD345" t="s">
        <v>4348</v>
      </c>
      <c r="AE345" t="s">
        <v>433</v>
      </c>
      <c r="AF345" t="s">
        <v>54</v>
      </c>
      <c r="AG345" t="s">
        <v>4264</v>
      </c>
      <c r="AH345" t="s">
        <v>4349</v>
      </c>
      <c r="AI345" t="s">
        <v>73</v>
      </c>
      <c r="AJ345" t="s">
        <v>65</v>
      </c>
      <c r="AK345" t="s">
        <v>4340</v>
      </c>
      <c r="AL345" t="s">
        <v>4341</v>
      </c>
      <c r="AM345" t="s">
        <v>76</v>
      </c>
      <c r="AN345" t="s">
        <v>70</v>
      </c>
      <c r="AO345" t="s">
        <v>429</v>
      </c>
      <c r="AP345" t="s">
        <v>4350</v>
      </c>
      <c r="AQ345" t="s">
        <v>80</v>
      </c>
      <c r="AR345" t="s">
        <v>65</v>
      </c>
      <c r="AS345" t="s">
        <v>4340</v>
      </c>
      <c r="AT345" t="s">
        <v>4341</v>
      </c>
      <c r="AU345" t="s">
        <v>83</v>
      </c>
      <c r="AV345" t="s">
        <v>4351</v>
      </c>
      <c r="AW345" t="str">
        <f>"3401890"</f>
        <v>3401890</v>
      </c>
    </row>
    <row r="346" spans="1:49">
      <c r="A346" t="str">
        <f t="shared" si="14"/>
        <v>19</v>
      </c>
      <c r="B346" t="s">
        <v>4315</v>
      </c>
      <c r="C346" t="str">
        <f>"0670"</f>
        <v>0670</v>
      </c>
      <c r="D346" t="s">
        <v>4352</v>
      </c>
      <c r="F346" t="s">
        <v>65</v>
      </c>
      <c r="G346" t="s">
        <v>291</v>
      </c>
      <c r="H346" t="s">
        <v>4353</v>
      </c>
      <c r="I346" t="s">
        <v>57</v>
      </c>
      <c r="J346" s="2" t="s">
        <v>4354</v>
      </c>
      <c r="K346" t="s">
        <v>4355</v>
      </c>
      <c r="L346" t="s">
        <v>60</v>
      </c>
      <c r="M346" t="s">
        <v>4356</v>
      </c>
      <c r="N346" t="s">
        <v>62</v>
      </c>
      <c r="O346" t="str">
        <f>"07830"</f>
        <v>07830</v>
      </c>
      <c r="P346" t="s">
        <v>4355</v>
      </c>
      <c r="S346" t="s">
        <v>4356</v>
      </c>
      <c r="T346" t="s">
        <v>62</v>
      </c>
      <c r="U346" t="str">
        <f>"07830"</f>
        <v>07830</v>
      </c>
      <c r="W346" t="s">
        <v>4357</v>
      </c>
      <c r="X346" t="s">
        <v>70</v>
      </c>
      <c r="Y346" t="s">
        <v>849</v>
      </c>
      <c r="Z346" t="s">
        <v>4358</v>
      </c>
      <c r="AA346" t="s">
        <v>135</v>
      </c>
      <c r="AB346" t="s">
        <v>65</v>
      </c>
      <c r="AC346" t="s">
        <v>291</v>
      </c>
      <c r="AD346" t="s">
        <v>4353</v>
      </c>
      <c r="AE346" t="s">
        <v>415</v>
      </c>
      <c r="AF346" t="s">
        <v>65</v>
      </c>
      <c r="AG346" t="s">
        <v>291</v>
      </c>
      <c r="AH346" t="s">
        <v>4353</v>
      </c>
      <c r="AI346" t="s">
        <v>73</v>
      </c>
      <c r="AJ346" t="s">
        <v>65</v>
      </c>
      <c r="AK346" t="s">
        <v>291</v>
      </c>
      <c r="AL346" t="s">
        <v>4353</v>
      </c>
      <c r="AM346" t="s">
        <v>76</v>
      </c>
      <c r="AN346" t="s">
        <v>77</v>
      </c>
      <c r="AO346" t="s">
        <v>1892</v>
      </c>
      <c r="AP346" t="s">
        <v>4359</v>
      </c>
      <c r="AQ346" t="s">
        <v>80</v>
      </c>
      <c r="AR346" t="s">
        <v>65</v>
      </c>
      <c r="AS346" t="s">
        <v>291</v>
      </c>
      <c r="AT346" t="s">
        <v>4353</v>
      </c>
      <c r="AU346" t="s">
        <v>83</v>
      </c>
      <c r="AV346" t="s">
        <v>4360</v>
      </c>
      <c r="AW346" t="str">
        <f>"3402610"</f>
        <v>3402610</v>
      </c>
    </row>
    <row r="347" spans="1:49">
      <c r="A347" t="str">
        <f t="shared" si="14"/>
        <v>19</v>
      </c>
      <c r="B347" t="s">
        <v>4315</v>
      </c>
      <c r="C347" t="str">
        <f>"0920"</f>
        <v>0920</v>
      </c>
      <c r="D347" t="s">
        <v>4361</v>
      </c>
      <c r="F347" t="s">
        <v>65</v>
      </c>
      <c r="G347" t="s">
        <v>4362</v>
      </c>
      <c r="H347" t="s">
        <v>4363</v>
      </c>
      <c r="I347" t="s">
        <v>89</v>
      </c>
      <c r="J347" s="2" t="s">
        <v>4364</v>
      </c>
      <c r="K347" t="s">
        <v>4365</v>
      </c>
      <c r="L347" t="s">
        <v>60</v>
      </c>
      <c r="M347" t="s">
        <v>4366</v>
      </c>
      <c r="N347" t="s">
        <v>62</v>
      </c>
      <c r="O347" t="str">
        <f>"08833"</f>
        <v>08833</v>
      </c>
      <c r="P347" t="s">
        <v>4365</v>
      </c>
      <c r="S347" t="s">
        <v>4366</v>
      </c>
      <c r="T347" t="s">
        <v>62</v>
      </c>
      <c r="U347" t="str">
        <f>"08833"</f>
        <v>08833</v>
      </c>
      <c r="W347" t="s">
        <v>4367</v>
      </c>
      <c r="X347" t="s">
        <v>77</v>
      </c>
      <c r="Y347" t="s">
        <v>404</v>
      </c>
      <c r="Z347" t="s">
        <v>4368</v>
      </c>
      <c r="AA347" t="s">
        <v>135</v>
      </c>
      <c r="AB347" t="s">
        <v>54</v>
      </c>
      <c r="AC347" t="s">
        <v>885</v>
      </c>
      <c r="AD347" t="s">
        <v>4369</v>
      </c>
      <c r="AE347" t="s">
        <v>98</v>
      </c>
      <c r="AF347" t="s">
        <v>70</v>
      </c>
      <c r="AG347" t="s">
        <v>716</v>
      </c>
      <c r="AH347" t="s">
        <v>4370</v>
      </c>
      <c r="AI347" t="s">
        <v>73</v>
      </c>
      <c r="AJ347" t="s">
        <v>54</v>
      </c>
      <c r="AK347" t="s">
        <v>155</v>
      </c>
      <c r="AL347" t="s">
        <v>4371</v>
      </c>
      <c r="AM347" t="s">
        <v>76</v>
      </c>
      <c r="AN347" t="s">
        <v>54</v>
      </c>
      <c r="AO347" t="s">
        <v>699</v>
      </c>
      <c r="AP347" t="s">
        <v>4372</v>
      </c>
      <c r="AQ347" t="s">
        <v>80</v>
      </c>
      <c r="AR347" t="s">
        <v>70</v>
      </c>
      <c r="AS347" t="s">
        <v>4373</v>
      </c>
      <c r="AT347" t="s">
        <v>4374</v>
      </c>
      <c r="AU347" t="s">
        <v>83</v>
      </c>
      <c r="AV347" t="s">
        <v>4375</v>
      </c>
      <c r="AW347" t="str">
        <f>"3403360"</f>
        <v>3403360</v>
      </c>
    </row>
    <row r="348" spans="1:49">
      <c r="A348" t="str">
        <f t="shared" si="14"/>
        <v>19</v>
      </c>
      <c r="B348" t="s">
        <v>4315</v>
      </c>
      <c r="C348" t="str">
        <f>"0910"</f>
        <v>0910</v>
      </c>
      <c r="D348" t="s">
        <v>4376</v>
      </c>
      <c r="F348" t="s">
        <v>65</v>
      </c>
      <c r="G348" t="s">
        <v>4377</v>
      </c>
      <c r="H348" t="s">
        <v>417</v>
      </c>
      <c r="I348" t="s">
        <v>89</v>
      </c>
      <c r="J348" s="2" t="s">
        <v>4378</v>
      </c>
      <c r="K348" t="s">
        <v>4379</v>
      </c>
      <c r="L348" t="s">
        <v>60</v>
      </c>
      <c r="M348" t="s">
        <v>4380</v>
      </c>
      <c r="N348" t="s">
        <v>62</v>
      </c>
      <c r="O348" t="str">
        <f>"08809"</f>
        <v>08809</v>
      </c>
      <c r="P348" t="s">
        <v>4379</v>
      </c>
      <c r="S348" t="s">
        <v>4380</v>
      </c>
      <c r="T348" t="s">
        <v>62</v>
      </c>
      <c r="U348" t="str">
        <f>"08809"</f>
        <v>08809</v>
      </c>
      <c r="W348" t="s">
        <v>4381</v>
      </c>
      <c r="X348" t="s">
        <v>54</v>
      </c>
      <c r="Y348" t="s">
        <v>4382</v>
      </c>
      <c r="Z348" t="s">
        <v>4383</v>
      </c>
      <c r="AA348" t="s">
        <v>112</v>
      </c>
      <c r="AB348" t="s">
        <v>54</v>
      </c>
      <c r="AC348" t="s">
        <v>1628</v>
      </c>
      <c r="AD348" t="s">
        <v>4384</v>
      </c>
      <c r="AE348" t="s">
        <v>69</v>
      </c>
      <c r="AF348" t="s">
        <v>54</v>
      </c>
      <c r="AG348" t="s">
        <v>1628</v>
      </c>
      <c r="AH348" t="s">
        <v>4384</v>
      </c>
      <c r="AI348" t="s">
        <v>73</v>
      </c>
      <c r="AJ348" t="s">
        <v>54</v>
      </c>
      <c r="AK348" t="s">
        <v>619</v>
      </c>
      <c r="AL348" t="s">
        <v>4385</v>
      </c>
      <c r="AM348" t="s">
        <v>76</v>
      </c>
      <c r="AN348" t="s">
        <v>77</v>
      </c>
      <c r="AO348" t="s">
        <v>436</v>
      </c>
      <c r="AP348" t="s">
        <v>4386</v>
      </c>
      <c r="AQ348" t="s">
        <v>80</v>
      </c>
      <c r="AR348" t="s">
        <v>54</v>
      </c>
      <c r="AS348" t="s">
        <v>1628</v>
      </c>
      <c r="AT348" t="s">
        <v>4384</v>
      </c>
      <c r="AU348" t="s">
        <v>83</v>
      </c>
      <c r="AV348" t="s">
        <v>4387</v>
      </c>
      <c r="AW348" t="str">
        <f>"3403330"</f>
        <v>3403330</v>
      </c>
    </row>
    <row r="349" spans="1:49">
      <c r="A349" t="str">
        <f t="shared" si="14"/>
        <v>19</v>
      </c>
      <c r="B349" t="s">
        <v>4315</v>
      </c>
      <c r="C349" t="str">
        <f>"1040"</f>
        <v>1040</v>
      </c>
      <c r="D349" t="s">
        <v>4388</v>
      </c>
      <c r="F349" t="s">
        <v>65</v>
      </c>
      <c r="G349" t="s">
        <v>223</v>
      </c>
      <c r="H349" t="s">
        <v>4389</v>
      </c>
      <c r="I349" t="s">
        <v>89</v>
      </c>
      <c r="J349" s="2" t="s">
        <v>4390</v>
      </c>
      <c r="K349" t="s">
        <v>4391</v>
      </c>
      <c r="L349" t="s">
        <v>4392</v>
      </c>
      <c r="M349" t="s">
        <v>4393</v>
      </c>
      <c r="N349" t="s">
        <v>62</v>
      </c>
      <c r="O349" t="str">
        <f>"08557"</f>
        <v>08557</v>
      </c>
      <c r="P349" t="s">
        <v>4391</v>
      </c>
      <c r="Q349" t="s">
        <v>4394</v>
      </c>
      <c r="S349" t="s">
        <v>4393</v>
      </c>
      <c r="T349" t="s">
        <v>62</v>
      </c>
      <c r="U349" t="str">
        <f>"08557"</f>
        <v>08557</v>
      </c>
      <c r="W349" t="s">
        <v>4395</v>
      </c>
      <c r="X349" t="s">
        <v>54</v>
      </c>
      <c r="Y349" t="s">
        <v>541</v>
      </c>
      <c r="Z349" t="s">
        <v>4106</v>
      </c>
      <c r="AA349" t="s">
        <v>135</v>
      </c>
      <c r="AB349" t="s">
        <v>54</v>
      </c>
      <c r="AC349" t="s">
        <v>771</v>
      </c>
      <c r="AD349" t="s">
        <v>4396</v>
      </c>
      <c r="AE349" t="s">
        <v>913</v>
      </c>
      <c r="AF349" t="s">
        <v>54</v>
      </c>
      <c r="AG349" t="s">
        <v>771</v>
      </c>
      <c r="AH349" t="s">
        <v>4396</v>
      </c>
      <c r="AI349" t="s">
        <v>73</v>
      </c>
      <c r="AJ349" t="s">
        <v>54</v>
      </c>
      <c r="AK349" t="s">
        <v>771</v>
      </c>
      <c r="AL349" t="s">
        <v>4396</v>
      </c>
      <c r="AM349" t="s">
        <v>76</v>
      </c>
      <c r="AN349" t="s">
        <v>77</v>
      </c>
      <c r="AO349" t="s">
        <v>328</v>
      </c>
      <c r="AP349" t="s">
        <v>4397</v>
      </c>
      <c r="AQ349" t="s">
        <v>80</v>
      </c>
      <c r="AR349" t="s">
        <v>54</v>
      </c>
      <c r="AS349" t="s">
        <v>771</v>
      </c>
      <c r="AT349" t="s">
        <v>4396</v>
      </c>
      <c r="AU349" t="s">
        <v>83</v>
      </c>
      <c r="AV349" t="s">
        <v>4398</v>
      </c>
      <c r="AW349" t="str">
        <f>"3403720"</f>
        <v>3403720</v>
      </c>
    </row>
    <row r="350" spans="1:49">
      <c r="A350" t="str">
        <f t="shared" si="14"/>
        <v>19</v>
      </c>
      <c r="B350" t="s">
        <v>4315</v>
      </c>
      <c r="C350" t="str">
        <f>"1050"</f>
        <v>1050</v>
      </c>
      <c r="D350" t="s">
        <v>4399</v>
      </c>
      <c r="F350" t="s">
        <v>54</v>
      </c>
      <c r="G350" t="s">
        <v>4400</v>
      </c>
      <c r="H350" t="s">
        <v>4401</v>
      </c>
      <c r="I350" t="s">
        <v>89</v>
      </c>
      <c r="J350" s="2" t="s">
        <v>4402</v>
      </c>
      <c r="K350" t="s">
        <v>4403</v>
      </c>
      <c r="L350" t="s">
        <v>60</v>
      </c>
      <c r="M350" t="s">
        <v>4404</v>
      </c>
      <c r="N350" t="s">
        <v>62</v>
      </c>
      <c r="O350" t="str">
        <f>"08825"</f>
        <v>08825</v>
      </c>
      <c r="P350" t="s">
        <v>4403</v>
      </c>
      <c r="S350" t="s">
        <v>4404</v>
      </c>
      <c r="T350" t="s">
        <v>62</v>
      </c>
      <c r="U350" t="str">
        <f>"08825"</f>
        <v>08825</v>
      </c>
      <c r="W350" t="s">
        <v>4405</v>
      </c>
      <c r="X350" t="s">
        <v>54</v>
      </c>
      <c r="Y350" t="s">
        <v>1708</v>
      </c>
      <c r="Z350" t="s">
        <v>4406</v>
      </c>
      <c r="AA350" t="s">
        <v>112</v>
      </c>
      <c r="AB350" t="s">
        <v>54</v>
      </c>
      <c r="AC350" t="s">
        <v>2472</v>
      </c>
      <c r="AD350" t="s">
        <v>4407</v>
      </c>
      <c r="AE350" t="s">
        <v>69</v>
      </c>
      <c r="AF350" t="s">
        <v>77</v>
      </c>
      <c r="AG350" t="s">
        <v>965</v>
      </c>
      <c r="AH350" t="s">
        <v>1311</v>
      </c>
      <c r="AI350" t="s">
        <v>73</v>
      </c>
      <c r="AJ350" t="s">
        <v>54</v>
      </c>
      <c r="AK350" t="s">
        <v>1541</v>
      </c>
      <c r="AL350" t="s">
        <v>4408</v>
      </c>
      <c r="AM350" t="s">
        <v>76</v>
      </c>
      <c r="AR350" t="s">
        <v>77</v>
      </c>
      <c r="AS350" t="s">
        <v>436</v>
      </c>
      <c r="AT350" t="s">
        <v>4409</v>
      </c>
      <c r="AU350" t="s">
        <v>83</v>
      </c>
      <c r="AV350" t="s">
        <v>4410</v>
      </c>
      <c r="AW350" t="str">
        <f>"3403750"</f>
        <v>3403750</v>
      </c>
    </row>
    <row r="351" spans="1:49">
      <c r="A351" t="str">
        <f t="shared" si="14"/>
        <v>19</v>
      </c>
      <c r="B351" t="s">
        <v>4315</v>
      </c>
      <c r="C351" t="str">
        <f>"1160"</f>
        <v>1160</v>
      </c>
      <c r="D351" t="s">
        <v>4411</v>
      </c>
      <c r="F351" t="s">
        <v>77</v>
      </c>
      <c r="G351" t="s">
        <v>1030</v>
      </c>
      <c r="H351" t="s">
        <v>4412</v>
      </c>
      <c r="I351" t="s">
        <v>89</v>
      </c>
      <c r="J351" s="2" t="s">
        <v>4413</v>
      </c>
      <c r="K351" t="s">
        <v>4414</v>
      </c>
      <c r="L351" t="s">
        <v>60</v>
      </c>
      <c r="M351" t="s">
        <v>4415</v>
      </c>
      <c r="N351" t="s">
        <v>62</v>
      </c>
      <c r="O351" t="s">
        <v>4416</v>
      </c>
      <c r="P351" t="s">
        <v>4414</v>
      </c>
      <c r="Q351" t="s">
        <v>4417</v>
      </c>
      <c r="S351" t="s">
        <v>4415</v>
      </c>
      <c r="T351" t="s">
        <v>62</v>
      </c>
      <c r="U351" t="str">
        <f>"08551"</f>
        <v>08551</v>
      </c>
      <c r="V351" t="str">
        <f>"0680"</f>
        <v>0680</v>
      </c>
      <c r="W351" t="s">
        <v>4418</v>
      </c>
      <c r="X351" t="s">
        <v>70</v>
      </c>
      <c r="Y351" t="s">
        <v>2108</v>
      </c>
      <c r="Z351" t="s">
        <v>4419</v>
      </c>
      <c r="AA351" t="s">
        <v>135</v>
      </c>
      <c r="AB351" t="s">
        <v>65</v>
      </c>
      <c r="AC351" t="s">
        <v>619</v>
      </c>
      <c r="AD351" t="s">
        <v>4420</v>
      </c>
      <c r="AE351" t="s">
        <v>181</v>
      </c>
      <c r="AF351" t="s">
        <v>77</v>
      </c>
      <c r="AG351" t="s">
        <v>328</v>
      </c>
      <c r="AH351" t="s">
        <v>1133</v>
      </c>
      <c r="AI351" t="s">
        <v>73</v>
      </c>
      <c r="AJ351" t="s">
        <v>65</v>
      </c>
      <c r="AK351" t="s">
        <v>619</v>
      </c>
      <c r="AL351" t="s">
        <v>4420</v>
      </c>
      <c r="AM351" t="s">
        <v>76</v>
      </c>
      <c r="AN351" t="s">
        <v>77</v>
      </c>
      <c r="AO351" t="s">
        <v>1232</v>
      </c>
      <c r="AP351" t="s">
        <v>4421</v>
      </c>
      <c r="AQ351" t="s">
        <v>80</v>
      </c>
      <c r="AR351" t="s">
        <v>77</v>
      </c>
      <c r="AS351" t="s">
        <v>328</v>
      </c>
      <c r="AT351" t="s">
        <v>1133</v>
      </c>
      <c r="AU351" t="s">
        <v>83</v>
      </c>
      <c r="AV351" t="s">
        <v>4422</v>
      </c>
      <c r="AW351" t="str">
        <f>"3404080"</f>
        <v>3404080</v>
      </c>
    </row>
    <row r="352" spans="1:49">
      <c r="A352" t="str">
        <f t="shared" si="14"/>
        <v>19</v>
      </c>
      <c r="B352" t="s">
        <v>4315</v>
      </c>
      <c r="C352" t="str">
        <f>"1510"</f>
        <v>1510</v>
      </c>
      <c r="D352" t="s">
        <v>4423</v>
      </c>
      <c r="F352" t="s">
        <v>65</v>
      </c>
      <c r="G352" t="s">
        <v>4424</v>
      </c>
      <c r="H352" t="s">
        <v>4425</v>
      </c>
      <c r="I352" t="s">
        <v>89</v>
      </c>
      <c r="J352" s="2" t="s">
        <v>4426</v>
      </c>
      <c r="K352" t="s">
        <v>4427</v>
      </c>
      <c r="L352" t="s">
        <v>60</v>
      </c>
      <c r="M352" t="s">
        <v>4428</v>
      </c>
      <c r="N352" t="s">
        <v>62</v>
      </c>
      <c r="O352" t="str">
        <f>"08822"</f>
        <v>08822</v>
      </c>
      <c r="P352" t="s">
        <v>4427</v>
      </c>
      <c r="S352" t="s">
        <v>4428</v>
      </c>
      <c r="T352" t="s">
        <v>62</v>
      </c>
      <c r="U352" t="str">
        <f>"08822"</f>
        <v>08822</v>
      </c>
      <c r="W352" t="s">
        <v>4429</v>
      </c>
      <c r="X352" t="s">
        <v>70</v>
      </c>
      <c r="Y352" t="s">
        <v>1164</v>
      </c>
      <c r="Z352" t="s">
        <v>2689</v>
      </c>
      <c r="AA352" t="s">
        <v>68</v>
      </c>
      <c r="AB352" t="s">
        <v>65</v>
      </c>
      <c r="AC352" t="s">
        <v>1250</v>
      </c>
      <c r="AD352" t="s">
        <v>4430</v>
      </c>
      <c r="AE352" t="s">
        <v>98</v>
      </c>
      <c r="AF352" t="s">
        <v>70</v>
      </c>
      <c r="AG352" t="s">
        <v>928</v>
      </c>
      <c r="AH352" t="s">
        <v>4431</v>
      </c>
      <c r="AI352" t="s">
        <v>73</v>
      </c>
      <c r="AJ352" t="s">
        <v>77</v>
      </c>
      <c r="AK352" t="s">
        <v>87</v>
      </c>
      <c r="AL352" t="s">
        <v>4432</v>
      </c>
      <c r="AM352" t="s">
        <v>154</v>
      </c>
      <c r="AN352" t="s">
        <v>77</v>
      </c>
      <c r="AO352" t="s">
        <v>1534</v>
      </c>
      <c r="AP352" t="s">
        <v>4433</v>
      </c>
      <c r="AQ352" t="s">
        <v>80</v>
      </c>
      <c r="AR352" t="s">
        <v>77</v>
      </c>
      <c r="AS352" t="s">
        <v>994</v>
      </c>
      <c r="AT352" t="s">
        <v>4434</v>
      </c>
      <c r="AU352" t="s">
        <v>83</v>
      </c>
      <c r="AV352" t="s">
        <v>4435</v>
      </c>
      <c r="AW352" t="str">
        <f>"3405190"</f>
        <v>3405190</v>
      </c>
    </row>
    <row r="353" spans="1:49">
      <c r="A353" t="str">
        <f t="shared" si="14"/>
        <v>19</v>
      </c>
      <c r="B353" t="s">
        <v>4315</v>
      </c>
      <c r="C353" t="str">
        <f>"1600"</f>
        <v>1600</v>
      </c>
      <c r="D353" t="s">
        <v>4436</v>
      </c>
      <c r="F353" t="s">
        <v>77</v>
      </c>
      <c r="G353" t="s">
        <v>663</v>
      </c>
      <c r="H353" t="s">
        <v>1156</v>
      </c>
      <c r="I353" t="s">
        <v>89</v>
      </c>
      <c r="J353" s="2" t="s">
        <v>4437</v>
      </c>
      <c r="K353" t="s">
        <v>4438</v>
      </c>
      <c r="L353" t="s">
        <v>60</v>
      </c>
      <c r="M353" t="s">
        <v>4439</v>
      </c>
      <c r="N353" t="s">
        <v>62</v>
      </c>
      <c r="O353" t="str">
        <f>"08868"</f>
        <v>08868</v>
      </c>
      <c r="P353" t="s">
        <v>4440</v>
      </c>
      <c r="S353" t="s">
        <v>4439</v>
      </c>
      <c r="T353" t="s">
        <v>62</v>
      </c>
      <c r="U353" t="str">
        <f>"08868"</f>
        <v>08868</v>
      </c>
      <c r="V353" t="str">
        <f>"0368"</f>
        <v>0368</v>
      </c>
      <c r="W353" t="s">
        <v>4441</v>
      </c>
      <c r="X353" t="s">
        <v>70</v>
      </c>
      <c r="Y353" t="s">
        <v>233</v>
      </c>
      <c r="Z353" t="s">
        <v>4442</v>
      </c>
      <c r="AA353" t="s">
        <v>68</v>
      </c>
      <c r="AB353" t="s">
        <v>54</v>
      </c>
      <c r="AC353" t="s">
        <v>932</v>
      </c>
      <c r="AD353" t="s">
        <v>4443</v>
      </c>
      <c r="AE353" t="s">
        <v>913</v>
      </c>
      <c r="AF353" t="s">
        <v>70</v>
      </c>
      <c r="AG353" t="s">
        <v>4444</v>
      </c>
      <c r="AH353" t="s">
        <v>4445</v>
      </c>
      <c r="AI353" t="s">
        <v>73</v>
      </c>
      <c r="AJ353" t="s">
        <v>70</v>
      </c>
      <c r="AK353" t="s">
        <v>96</v>
      </c>
      <c r="AL353" t="s">
        <v>4445</v>
      </c>
      <c r="AM353" t="s">
        <v>76</v>
      </c>
      <c r="AN353" t="s">
        <v>54</v>
      </c>
      <c r="AO353" t="s">
        <v>1498</v>
      </c>
      <c r="AP353" t="s">
        <v>4446</v>
      </c>
      <c r="AQ353" t="s">
        <v>80</v>
      </c>
      <c r="AR353" t="s">
        <v>77</v>
      </c>
      <c r="AS353" t="s">
        <v>663</v>
      </c>
      <c r="AT353" t="s">
        <v>1156</v>
      </c>
      <c r="AU353" t="s">
        <v>83</v>
      </c>
      <c r="AV353" t="s">
        <v>4447</v>
      </c>
      <c r="AW353" t="str">
        <f>"3405460"</f>
        <v>3405460</v>
      </c>
    </row>
    <row r="354" spans="1:49">
      <c r="A354" t="str">
        <f t="shared" si="14"/>
        <v>19</v>
      </c>
      <c r="B354" t="s">
        <v>4315</v>
      </c>
      <c r="C354" t="str">
        <f>"1680"</f>
        <v>1680</v>
      </c>
      <c r="D354" t="s">
        <v>4448</v>
      </c>
      <c r="F354" t="s">
        <v>54</v>
      </c>
      <c r="G354" t="s">
        <v>4400</v>
      </c>
      <c r="H354" t="s">
        <v>4401</v>
      </c>
      <c r="I354" t="s">
        <v>89</v>
      </c>
      <c r="J354" s="2" t="s">
        <v>4402</v>
      </c>
      <c r="K354" t="s">
        <v>4449</v>
      </c>
      <c r="L354" t="s">
        <v>60</v>
      </c>
      <c r="M354" t="s">
        <v>4450</v>
      </c>
      <c r="N354" t="s">
        <v>62</v>
      </c>
      <c r="O354" t="str">
        <f>"08822"</f>
        <v>08822</v>
      </c>
      <c r="P354" t="s">
        <v>4449</v>
      </c>
      <c r="S354" t="s">
        <v>4450</v>
      </c>
      <c r="T354" t="s">
        <v>62</v>
      </c>
      <c r="U354" t="str">
        <f>"08822"</f>
        <v>08822</v>
      </c>
      <c r="W354" t="s">
        <v>4451</v>
      </c>
      <c r="X354" t="s">
        <v>54</v>
      </c>
      <c r="Y354" t="s">
        <v>1708</v>
      </c>
      <c r="Z354" t="s">
        <v>1746</v>
      </c>
      <c r="AA354" t="s">
        <v>112</v>
      </c>
      <c r="AB354" t="s">
        <v>77</v>
      </c>
      <c r="AC354" t="s">
        <v>182</v>
      </c>
      <c r="AD354" t="s">
        <v>4452</v>
      </c>
      <c r="AE354" t="s">
        <v>181</v>
      </c>
      <c r="AF354" t="s">
        <v>77</v>
      </c>
      <c r="AG354" t="s">
        <v>182</v>
      </c>
      <c r="AH354" t="s">
        <v>4452</v>
      </c>
      <c r="AI354" t="s">
        <v>73</v>
      </c>
      <c r="AJ354" t="s">
        <v>70</v>
      </c>
      <c r="AK354" t="s">
        <v>4453</v>
      </c>
      <c r="AL354" t="s">
        <v>2216</v>
      </c>
      <c r="AM354" t="s">
        <v>76</v>
      </c>
      <c r="AN354" t="s">
        <v>77</v>
      </c>
      <c r="AO354" t="s">
        <v>206</v>
      </c>
      <c r="AP354" t="s">
        <v>4454</v>
      </c>
      <c r="AQ354" t="s">
        <v>80</v>
      </c>
      <c r="AR354" t="s">
        <v>77</v>
      </c>
      <c r="AS354" t="s">
        <v>182</v>
      </c>
      <c r="AT354" t="s">
        <v>4452</v>
      </c>
      <c r="AU354" t="s">
        <v>83</v>
      </c>
      <c r="AV354" t="s">
        <v>4455</v>
      </c>
      <c r="AW354" t="str">
        <f>"3405700"</f>
        <v>3405700</v>
      </c>
    </row>
    <row r="355" spans="1:49">
      <c r="A355" t="str">
        <f t="shared" si="14"/>
        <v>19</v>
      </c>
      <c r="B355" t="s">
        <v>4315</v>
      </c>
      <c r="C355" t="str">
        <f>"1970"</f>
        <v>1970</v>
      </c>
      <c r="D355" t="s">
        <v>4456</v>
      </c>
      <c r="F355" t="s">
        <v>77</v>
      </c>
      <c r="G355" t="s">
        <v>243</v>
      </c>
      <c r="H355" t="s">
        <v>4457</v>
      </c>
      <c r="I355" t="s">
        <v>89</v>
      </c>
      <c r="J355" s="2" t="s">
        <v>4458</v>
      </c>
      <c r="K355" t="s">
        <v>4459</v>
      </c>
      <c r="L355" t="s">
        <v>60</v>
      </c>
      <c r="M355" t="s">
        <v>4460</v>
      </c>
      <c r="N355" t="s">
        <v>62</v>
      </c>
      <c r="O355" t="str">
        <f>"08827"</f>
        <v>08827</v>
      </c>
      <c r="P355" t="s">
        <v>4459</v>
      </c>
      <c r="S355" t="s">
        <v>4460</v>
      </c>
      <c r="T355" t="s">
        <v>62</v>
      </c>
      <c r="U355" t="str">
        <f>"08827"</f>
        <v>08827</v>
      </c>
      <c r="W355" t="s">
        <v>4461</v>
      </c>
      <c r="X355" t="s">
        <v>54</v>
      </c>
      <c r="Y355" t="s">
        <v>4462</v>
      </c>
      <c r="Z355" t="s">
        <v>4463</v>
      </c>
      <c r="AA355" t="s">
        <v>112</v>
      </c>
      <c r="AB355" t="s">
        <v>77</v>
      </c>
      <c r="AC355" t="s">
        <v>243</v>
      </c>
      <c r="AD355" t="s">
        <v>4457</v>
      </c>
      <c r="AE355" t="s">
        <v>98</v>
      </c>
      <c r="AF355" t="s">
        <v>70</v>
      </c>
      <c r="AG355" t="s">
        <v>4464</v>
      </c>
      <c r="AH355" t="s">
        <v>4465</v>
      </c>
      <c r="AI355" t="s">
        <v>73</v>
      </c>
      <c r="AJ355" t="s">
        <v>70</v>
      </c>
      <c r="AK355" t="s">
        <v>1528</v>
      </c>
      <c r="AL355" t="s">
        <v>4466</v>
      </c>
      <c r="AM355" t="s">
        <v>76</v>
      </c>
      <c r="AN355" t="s">
        <v>70</v>
      </c>
      <c r="AO355" t="s">
        <v>4464</v>
      </c>
      <c r="AP355" t="s">
        <v>4465</v>
      </c>
      <c r="AQ355" t="s">
        <v>80</v>
      </c>
      <c r="AR355" t="s">
        <v>77</v>
      </c>
      <c r="AS355" t="s">
        <v>243</v>
      </c>
      <c r="AT355" t="s">
        <v>4457</v>
      </c>
      <c r="AU355" t="s">
        <v>83</v>
      </c>
      <c r="AV355" t="s">
        <v>4467</v>
      </c>
      <c r="AW355" t="str">
        <f>"3406600"</f>
        <v>3406600</v>
      </c>
    </row>
    <row r="356" spans="1:49">
      <c r="A356" t="str">
        <f t="shared" si="14"/>
        <v>19</v>
      </c>
      <c r="B356" t="s">
        <v>4315</v>
      </c>
      <c r="C356" t="str">
        <f>"2140"</f>
        <v>2140</v>
      </c>
      <c r="D356" t="s">
        <v>4468</v>
      </c>
      <c r="F356" t="s">
        <v>65</v>
      </c>
      <c r="G356" t="s">
        <v>3427</v>
      </c>
      <c r="H356" t="s">
        <v>4469</v>
      </c>
      <c r="I356" t="s">
        <v>89</v>
      </c>
      <c r="J356" s="2" t="s">
        <v>4470</v>
      </c>
      <c r="K356" t="s">
        <v>4471</v>
      </c>
      <c r="L356" t="s">
        <v>60</v>
      </c>
      <c r="M356" t="s">
        <v>4472</v>
      </c>
      <c r="N356" t="s">
        <v>62</v>
      </c>
      <c r="O356" t="str">
        <f>"08829"</f>
        <v>08829</v>
      </c>
      <c r="P356" t="s">
        <v>4471</v>
      </c>
      <c r="S356" t="s">
        <v>4472</v>
      </c>
      <c r="T356" t="s">
        <v>62</v>
      </c>
      <c r="U356" t="str">
        <f>"08829"</f>
        <v>08829</v>
      </c>
      <c r="W356" t="s">
        <v>4473</v>
      </c>
      <c r="X356" t="s">
        <v>77</v>
      </c>
      <c r="Y356" t="s">
        <v>328</v>
      </c>
      <c r="Z356" t="s">
        <v>4474</v>
      </c>
      <c r="AA356" t="s">
        <v>112</v>
      </c>
      <c r="AB356" t="s">
        <v>70</v>
      </c>
      <c r="AC356" t="s">
        <v>150</v>
      </c>
      <c r="AD356" t="s">
        <v>4475</v>
      </c>
      <c r="AE356" t="s">
        <v>98</v>
      </c>
      <c r="AF356" t="s">
        <v>65</v>
      </c>
      <c r="AG356" t="s">
        <v>3427</v>
      </c>
      <c r="AH356" t="s">
        <v>4469</v>
      </c>
      <c r="AI356" t="s">
        <v>73</v>
      </c>
      <c r="AJ356" t="s">
        <v>77</v>
      </c>
      <c r="AK356" t="s">
        <v>223</v>
      </c>
      <c r="AL356" t="s">
        <v>4476</v>
      </c>
      <c r="AM356" t="s">
        <v>76</v>
      </c>
      <c r="AN356" t="s">
        <v>77</v>
      </c>
      <c r="AO356" t="s">
        <v>223</v>
      </c>
      <c r="AP356" t="s">
        <v>4476</v>
      </c>
      <c r="AQ356" t="s">
        <v>80</v>
      </c>
      <c r="AR356" t="s">
        <v>65</v>
      </c>
      <c r="AS356" t="s">
        <v>3427</v>
      </c>
      <c r="AT356" t="s">
        <v>4469</v>
      </c>
      <c r="AU356" t="s">
        <v>83</v>
      </c>
      <c r="AV356" t="s">
        <v>4477</v>
      </c>
      <c r="AW356" t="str">
        <f>"3407110"</f>
        <v>3407110</v>
      </c>
    </row>
    <row r="357" spans="1:49">
      <c r="A357" t="str">
        <f t="shared" si="14"/>
        <v>19</v>
      </c>
      <c r="B357" t="s">
        <v>4315</v>
      </c>
      <c r="C357" t="str">
        <f>"2220"</f>
        <v>2220</v>
      </c>
      <c r="D357" t="s">
        <v>4478</v>
      </c>
      <c r="F357" t="s">
        <v>54</v>
      </c>
      <c r="G357" t="s">
        <v>1164</v>
      </c>
      <c r="H357" t="s">
        <v>4479</v>
      </c>
      <c r="I357" t="s">
        <v>89</v>
      </c>
      <c r="J357" s="2" t="s">
        <v>4480</v>
      </c>
      <c r="K357" t="s">
        <v>4481</v>
      </c>
      <c r="L357" t="s">
        <v>60</v>
      </c>
      <c r="M357" t="s">
        <v>4482</v>
      </c>
      <c r="N357" t="s">
        <v>62</v>
      </c>
      <c r="O357" t="str">
        <f>"08848"</f>
        <v>08848</v>
      </c>
      <c r="P357" t="s">
        <v>4481</v>
      </c>
      <c r="S357" t="s">
        <v>4482</v>
      </c>
      <c r="T357" t="s">
        <v>62</v>
      </c>
      <c r="U357" t="str">
        <f>"08848"</f>
        <v>08848</v>
      </c>
      <c r="W357" t="s">
        <v>4483</v>
      </c>
      <c r="X357" t="s">
        <v>77</v>
      </c>
      <c r="Y357" t="s">
        <v>212</v>
      </c>
      <c r="Z357" t="s">
        <v>4322</v>
      </c>
      <c r="AA357" t="s">
        <v>112</v>
      </c>
      <c r="AB357" t="s">
        <v>70</v>
      </c>
      <c r="AC357" t="s">
        <v>1164</v>
      </c>
      <c r="AD357" t="s">
        <v>4479</v>
      </c>
      <c r="AE357" t="s">
        <v>913</v>
      </c>
      <c r="AF357" t="s">
        <v>54</v>
      </c>
      <c r="AG357" t="s">
        <v>541</v>
      </c>
      <c r="AH357" t="s">
        <v>4484</v>
      </c>
      <c r="AI357" t="s">
        <v>73</v>
      </c>
      <c r="AJ357" t="s">
        <v>54</v>
      </c>
      <c r="AK357" t="s">
        <v>1164</v>
      </c>
      <c r="AL357" t="s">
        <v>4479</v>
      </c>
      <c r="AM357" t="s">
        <v>76</v>
      </c>
      <c r="AN357" t="s">
        <v>77</v>
      </c>
      <c r="AO357" t="s">
        <v>243</v>
      </c>
      <c r="AP357" t="s">
        <v>4485</v>
      </c>
      <c r="AQ357" t="s">
        <v>80</v>
      </c>
      <c r="AR357" t="s">
        <v>77</v>
      </c>
      <c r="AS357" t="s">
        <v>212</v>
      </c>
      <c r="AT357" t="s">
        <v>4322</v>
      </c>
      <c r="AU357" t="s">
        <v>83</v>
      </c>
      <c r="AV357" t="s">
        <v>4486</v>
      </c>
      <c r="AW357" t="str">
        <f>"3407380"</f>
        <v>3407380</v>
      </c>
    </row>
    <row r="358" spans="1:49">
      <c r="A358" t="str">
        <f t="shared" si="14"/>
        <v>19</v>
      </c>
      <c r="B358" t="s">
        <v>4315</v>
      </c>
      <c r="C358" t="str">
        <f>"2300"</f>
        <v>2300</v>
      </c>
      <c r="D358" t="s">
        <v>4487</v>
      </c>
      <c r="F358" t="s">
        <v>65</v>
      </c>
      <c r="G358" t="s">
        <v>3970</v>
      </c>
      <c r="H358" t="s">
        <v>2895</v>
      </c>
      <c r="I358" t="s">
        <v>89</v>
      </c>
      <c r="J358" s="2" t="s">
        <v>4488</v>
      </c>
      <c r="K358" t="s">
        <v>4489</v>
      </c>
      <c r="L358" t="s">
        <v>60</v>
      </c>
      <c r="M358" t="s">
        <v>4428</v>
      </c>
      <c r="N358" t="s">
        <v>62</v>
      </c>
      <c r="O358" t="str">
        <f>"08822"</f>
        <v>08822</v>
      </c>
      <c r="P358" t="s">
        <v>4490</v>
      </c>
      <c r="S358" t="s">
        <v>4428</v>
      </c>
      <c r="T358" t="s">
        <v>62</v>
      </c>
      <c r="U358" t="str">
        <f>"08822"</f>
        <v>08822</v>
      </c>
      <c r="W358" t="s">
        <v>4491</v>
      </c>
      <c r="X358" t="s">
        <v>70</v>
      </c>
      <c r="Y358" t="s">
        <v>4492</v>
      </c>
      <c r="Z358" t="s">
        <v>4493</v>
      </c>
      <c r="AA358" t="s">
        <v>112</v>
      </c>
      <c r="AB358" t="s">
        <v>70</v>
      </c>
      <c r="AC358" t="s">
        <v>2949</v>
      </c>
      <c r="AD358" t="s">
        <v>4494</v>
      </c>
      <c r="AE358" t="s">
        <v>913</v>
      </c>
      <c r="AF358" t="s">
        <v>77</v>
      </c>
      <c r="AG358" t="s">
        <v>422</v>
      </c>
      <c r="AH358" t="s">
        <v>4495</v>
      </c>
      <c r="AI358" t="s">
        <v>73</v>
      </c>
      <c r="AJ358" t="s">
        <v>70</v>
      </c>
      <c r="AK358" t="s">
        <v>682</v>
      </c>
      <c r="AL358" t="s">
        <v>4496</v>
      </c>
      <c r="AM358" t="s">
        <v>76</v>
      </c>
      <c r="AN358" t="s">
        <v>77</v>
      </c>
      <c r="AO358" t="s">
        <v>120</v>
      </c>
      <c r="AP358" t="s">
        <v>4497</v>
      </c>
      <c r="AQ358" t="s">
        <v>80</v>
      </c>
      <c r="AR358" t="s">
        <v>77</v>
      </c>
      <c r="AS358" t="s">
        <v>1186</v>
      </c>
      <c r="AT358" t="s">
        <v>4498</v>
      </c>
      <c r="AU358" t="s">
        <v>83</v>
      </c>
      <c r="AV358" t="s">
        <v>4499</v>
      </c>
      <c r="AW358" t="str">
        <f>"3407590"</f>
        <v>3407590</v>
      </c>
    </row>
    <row r="359" spans="1:49">
      <c r="A359" t="str">
        <f t="shared" si="14"/>
        <v>19</v>
      </c>
      <c r="B359" t="s">
        <v>4315</v>
      </c>
      <c r="C359" t="str">
        <f>"2305"</f>
        <v>2305</v>
      </c>
      <c r="D359" t="s">
        <v>4500</v>
      </c>
      <c r="F359" t="s">
        <v>70</v>
      </c>
      <c r="G359" t="s">
        <v>1117</v>
      </c>
      <c r="H359" t="s">
        <v>4501</v>
      </c>
      <c r="I359" t="s">
        <v>89</v>
      </c>
      <c r="J359" s="2" t="s">
        <v>4502</v>
      </c>
      <c r="K359" t="s">
        <v>4503</v>
      </c>
      <c r="L359" t="s">
        <v>60</v>
      </c>
      <c r="M359" t="s">
        <v>4356</v>
      </c>
      <c r="N359" t="s">
        <v>62</v>
      </c>
      <c r="O359" t="str">
        <f>"07830"</f>
        <v>07830</v>
      </c>
      <c r="P359" t="s">
        <v>4503</v>
      </c>
      <c r="S359" t="s">
        <v>4356</v>
      </c>
      <c r="T359" t="s">
        <v>62</v>
      </c>
      <c r="U359" t="str">
        <f>"07830"</f>
        <v>07830</v>
      </c>
      <c r="W359" t="s">
        <v>4504</v>
      </c>
      <c r="X359" t="s">
        <v>54</v>
      </c>
      <c r="Y359" t="s">
        <v>4505</v>
      </c>
      <c r="Z359" t="s">
        <v>4506</v>
      </c>
      <c r="AA359" t="s">
        <v>135</v>
      </c>
      <c r="AB359" t="s">
        <v>77</v>
      </c>
      <c r="AC359" t="s">
        <v>190</v>
      </c>
      <c r="AD359" t="s">
        <v>4507</v>
      </c>
      <c r="AE359" t="s">
        <v>181</v>
      </c>
      <c r="AF359" t="s">
        <v>77</v>
      </c>
      <c r="AG359" t="s">
        <v>190</v>
      </c>
      <c r="AH359" t="s">
        <v>4508</v>
      </c>
      <c r="AI359" t="s">
        <v>73</v>
      </c>
      <c r="AJ359" t="s">
        <v>77</v>
      </c>
      <c r="AK359" t="s">
        <v>1067</v>
      </c>
      <c r="AL359" t="s">
        <v>4509</v>
      </c>
      <c r="AM359" t="s">
        <v>76</v>
      </c>
      <c r="AN359" t="s">
        <v>77</v>
      </c>
      <c r="AO359" t="s">
        <v>1512</v>
      </c>
      <c r="AP359" t="s">
        <v>4510</v>
      </c>
      <c r="AQ359" t="s">
        <v>80</v>
      </c>
      <c r="AR359" t="s">
        <v>70</v>
      </c>
      <c r="AS359" t="s">
        <v>1117</v>
      </c>
      <c r="AT359" t="s">
        <v>4501</v>
      </c>
      <c r="AU359" t="s">
        <v>83</v>
      </c>
      <c r="AV359" t="s">
        <v>4511</v>
      </c>
      <c r="AW359" t="str">
        <f>"3480360"</f>
        <v>3480360</v>
      </c>
    </row>
    <row r="360" spans="1:49">
      <c r="A360" t="str">
        <f t="shared" si="14"/>
        <v>19</v>
      </c>
      <c r="B360" t="s">
        <v>4315</v>
      </c>
      <c r="C360" t="str">
        <f>"2308"</f>
        <v>2308</v>
      </c>
      <c r="D360" t="s">
        <v>4512</v>
      </c>
      <c r="F360" t="s">
        <v>65</v>
      </c>
      <c r="G360" t="s">
        <v>478</v>
      </c>
      <c r="H360" t="s">
        <v>4513</v>
      </c>
      <c r="I360" t="s">
        <v>57</v>
      </c>
      <c r="J360" s="2" t="s">
        <v>4514</v>
      </c>
      <c r="K360" t="s">
        <v>4515</v>
      </c>
      <c r="L360" t="s">
        <v>60</v>
      </c>
      <c r="M360" t="s">
        <v>4428</v>
      </c>
      <c r="N360" t="s">
        <v>62</v>
      </c>
      <c r="O360" t="str">
        <f>"08822"</f>
        <v>08822</v>
      </c>
      <c r="P360" t="s">
        <v>4515</v>
      </c>
      <c r="S360" t="s">
        <v>4428</v>
      </c>
      <c r="T360" t="s">
        <v>62</v>
      </c>
      <c r="U360" t="str">
        <f>"08822"</f>
        <v>08822</v>
      </c>
      <c r="W360" t="s">
        <v>4516</v>
      </c>
      <c r="X360" t="s">
        <v>70</v>
      </c>
      <c r="Y360" t="s">
        <v>4505</v>
      </c>
      <c r="Z360" t="s">
        <v>4506</v>
      </c>
      <c r="AA360" t="s">
        <v>112</v>
      </c>
      <c r="AB360" t="s">
        <v>70</v>
      </c>
      <c r="AC360" t="s">
        <v>289</v>
      </c>
      <c r="AD360" t="s">
        <v>4517</v>
      </c>
      <c r="AE360" t="s">
        <v>913</v>
      </c>
      <c r="AF360" t="s">
        <v>70</v>
      </c>
      <c r="AG360" t="s">
        <v>289</v>
      </c>
      <c r="AH360" t="s">
        <v>4517</v>
      </c>
      <c r="AI360" t="s">
        <v>73</v>
      </c>
      <c r="AJ360" t="s">
        <v>70</v>
      </c>
      <c r="AK360" t="s">
        <v>2980</v>
      </c>
      <c r="AL360" t="s">
        <v>4518</v>
      </c>
      <c r="AM360" t="s">
        <v>76</v>
      </c>
      <c r="AR360" t="s">
        <v>54</v>
      </c>
      <c r="AS360" t="s">
        <v>2252</v>
      </c>
      <c r="AT360" t="s">
        <v>4519</v>
      </c>
      <c r="AU360" t="s">
        <v>83</v>
      </c>
      <c r="AV360" t="s">
        <v>4520</v>
      </c>
      <c r="AW360" t="str">
        <f>"3400050"</f>
        <v>3400050</v>
      </c>
    </row>
    <row r="361" spans="1:49">
      <c r="A361" t="str">
        <f t="shared" si="14"/>
        <v>19</v>
      </c>
      <c r="B361" t="s">
        <v>4315</v>
      </c>
      <c r="C361" t="str">
        <f>"2450"</f>
        <v>2450</v>
      </c>
      <c r="D361" t="s">
        <v>4521</v>
      </c>
      <c r="F361" t="s">
        <v>65</v>
      </c>
      <c r="G361" t="s">
        <v>4522</v>
      </c>
      <c r="H361" t="s">
        <v>4523</v>
      </c>
      <c r="I361" t="s">
        <v>57</v>
      </c>
      <c r="J361" s="2" t="s">
        <v>4524</v>
      </c>
      <c r="K361" t="s">
        <v>4525</v>
      </c>
      <c r="L361" t="s">
        <v>60</v>
      </c>
      <c r="M361" t="s">
        <v>4450</v>
      </c>
      <c r="N361" t="s">
        <v>62</v>
      </c>
      <c r="O361" t="str">
        <f>"08825"</f>
        <v>08825</v>
      </c>
      <c r="P361" t="s">
        <v>4525</v>
      </c>
      <c r="S361" t="s">
        <v>4450</v>
      </c>
      <c r="T361" t="s">
        <v>62</v>
      </c>
      <c r="U361" t="str">
        <f>"08825"</f>
        <v>08825</v>
      </c>
      <c r="V361" t="str">
        <f>"0855"</f>
        <v>0855</v>
      </c>
      <c r="W361" t="s">
        <v>4526</v>
      </c>
      <c r="X361" t="s">
        <v>54</v>
      </c>
      <c r="Y361" t="s">
        <v>291</v>
      </c>
      <c r="Z361" t="s">
        <v>560</v>
      </c>
      <c r="AA361" t="s">
        <v>135</v>
      </c>
      <c r="AB361" t="s">
        <v>65</v>
      </c>
      <c r="AC361" t="s">
        <v>1498</v>
      </c>
      <c r="AD361" t="s">
        <v>4527</v>
      </c>
      <c r="AE361" t="s">
        <v>69</v>
      </c>
      <c r="AF361" t="s">
        <v>77</v>
      </c>
      <c r="AG361" t="s">
        <v>509</v>
      </c>
      <c r="AH361" t="s">
        <v>4528</v>
      </c>
      <c r="AI361" t="s">
        <v>73</v>
      </c>
      <c r="AJ361" t="s">
        <v>65</v>
      </c>
      <c r="AK361" t="s">
        <v>4522</v>
      </c>
      <c r="AL361" t="s">
        <v>4523</v>
      </c>
      <c r="AM361" t="s">
        <v>76</v>
      </c>
      <c r="AN361" t="s">
        <v>70</v>
      </c>
      <c r="AO361" t="s">
        <v>716</v>
      </c>
      <c r="AP361" t="s">
        <v>4368</v>
      </c>
      <c r="AQ361" t="s">
        <v>80</v>
      </c>
      <c r="AR361" t="s">
        <v>77</v>
      </c>
      <c r="AS361" t="s">
        <v>509</v>
      </c>
      <c r="AT361" t="s">
        <v>4528</v>
      </c>
      <c r="AU361" t="s">
        <v>83</v>
      </c>
      <c r="AV361" t="s">
        <v>4529</v>
      </c>
      <c r="AW361" t="str">
        <f>"3408010"</f>
        <v>3408010</v>
      </c>
    </row>
    <row r="362" spans="1:49">
      <c r="A362" t="str">
        <f t="shared" si="14"/>
        <v>19</v>
      </c>
      <c r="B362" t="s">
        <v>4315</v>
      </c>
      <c r="C362" t="str">
        <f>"2590"</f>
        <v>2590</v>
      </c>
      <c r="D362" t="s">
        <v>4530</v>
      </c>
      <c r="F362" t="s">
        <v>77</v>
      </c>
      <c r="G362" t="s">
        <v>2694</v>
      </c>
      <c r="H362" t="s">
        <v>4531</v>
      </c>
      <c r="I362" t="s">
        <v>57</v>
      </c>
      <c r="J362" s="2" t="s">
        <v>4532</v>
      </c>
      <c r="K362" t="s">
        <v>4533</v>
      </c>
      <c r="L362" t="s">
        <v>60</v>
      </c>
      <c r="M362" t="s">
        <v>4534</v>
      </c>
      <c r="N362" t="s">
        <v>62</v>
      </c>
      <c r="O362" t="str">
        <f>"08833"</f>
        <v>08833</v>
      </c>
      <c r="P362" t="s">
        <v>4533</v>
      </c>
      <c r="S362" t="s">
        <v>4534</v>
      </c>
      <c r="T362" t="s">
        <v>62</v>
      </c>
      <c r="U362" t="str">
        <f>"08833"</f>
        <v>08833</v>
      </c>
      <c r="W362" t="s">
        <v>4535</v>
      </c>
      <c r="X362" t="s">
        <v>54</v>
      </c>
      <c r="Y362" t="s">
        <v>233</v>
      </c>
      <c r="Z362" t="s">
        <v>4536</v>
      </c>
      <c r="AA362" t="s">
        <v>112</v>
      </c>
      <c r="AB362" t="s">
        <v>70</v>
      </c>
      <c r="AC362" t="s">
        <v>649</v>
      </c>
      <c r="AD362" t="s">
        <v>2218</v>
      </c>
      <c r="AE362" t="s">
        <v>181</v>
      </c>
      <c r="AF362" t="s">
        <v>70</v>
      </c>
      <c r="AG362" t="s">
        <v>649</v>
      </c>
      <c r="AH362" t="s">
        <v>2218</v>
      </c>
      <c r="AI362" t="s">
        <v>73</v>
      </c>
      <c r="AJ362" t="s">
        <v>77</v>
      </c>
      <c r="AK362" t="s">
        <v>2694</v>
      </c>
      <c r="AL362" t="s">
        <v>4531</v>
      </c>
      <c r="AM362" t="s">
        <v>76</v>
      </c>
      <c r="AN362" t="s">
        <v>77</v>
      </c>
      <c r="AO362" t="s">
        <v>2694</v>
      </c>
      <c r="AP362" t="s">
        <v>4531</v>
      </c>
      <c r="AQ362" t="s">
        <v>80</v>
      </c>
      <c r="AR362" t="s">
        <v>77</v>
      </c>
      <c r="AS362" t="s">
        <v>2694</v>
      </c>
      <c r="AT362" t="s">
        <v>4531</v>
      </c>
      <c r="AU362" t="s">
        <v>83</v>
      </c>
      <c r="AV362" t="s">
        <v>4537</v>
      </c>
      <c r="AW362" t="str">
        <f>"3408430"</f>
        <v>3408430</v>
      </c>
    </row>
    <row r="363" spans="1:49">
      <c r="A363" t="str">
        <f t="shared" si="14"/>
        <v>19</v>
      </c>
      <c r="B363" t="s">
        <v>4315</v>
      </c>
      <c r="C363" t="str">
        <f>"2600"</f>
        <v>2600</v>
      </c>
      <c r="D363" t="s">
        <v>4538</v>
      </c>
      <c r="F363" t="s">
        <v>77</v>
      </c>
      <c r="G363" t="s">
        <v>243</v>
      </c>
      <c r="H363" t="s">
        <v>4457</v>
      </c>
      <c r="I363" t="s">
        <v>89</v>
      </c>
      <c r="J363" s="2" t="s">
        <v>4539</v>
      </c>
      <c r="K363" t="s">
        <v>4540</v>
      </c>
      <c r="L363" t="s">
        <v>60</v>
      </c>
      <c r="M363" t="s">
        <v>4356</v>
      </c>
      <c r="N363" t="s">
        <v>62</v>
      </c>
      <c r="O363" t="str">
        <f>"07830"</f>
        <v>07830</v>
      </c>
      <c r="P363" t="s">
        <v>4540</v>
      </c>
      <c r="S363" t="s">
        <v>4356</v>
      </c>
      <c r="T363" t="s">
        <v>62</v>
      </c>
      <c r="U363" t="str">
        <f>"07830"</f>
        <v>07830</v>
      </c>
      <c r="W363" t="s">
        <v>4541</v>
      </c>
      <c r="X363" t="s">
        <v>54</v>
      </c>
      <c r="Y363" t="s">
        <v>4542</v>
      </c>
      <c r="Z363" t="s">
        <v>1648</v>
      </c>
      <c r="AA363" t="s">
        <v>68</v>
      </c>
      <c r="AB363" t="s">
        <v>54</v>
      </c>
      <c r="AC363" t="s">
        <v>3566</v>
      </c>
      <c r="AD363" t="s">
        <v>4543</v>
      </c>
      <c r="AE363" t="s">
        <v>181</v>
      </c>
      <c r="AF363" t="s">
        <v>77</v>
      </c>
      <c r="AG363" t="s">
        <v>243</v>
      </c>
      <c r="AH363" t="s">
        <v>4457</v>
      </c>
      <c r="AI363" t="s">
        <v>73</v>
      </c>
      <c r="AJ363" t="s">
        <v>77</v>
      </c>
      <c r="AK363" t="s">
        <v>243</v>
      </c>
      <c r="AL363" t="s">
        <v>4457</v>
      </c>
      <c r="AM363" t="s">
        <v>76</v>
      </c>
      <c r="AN363" t="s">
        <v>77</v>
      </c>
      <c r="AO363" t="s">
        <v>287</v>
      </c>
      <c r="AP363" t="s">
        <v>4544</v>
      </c>
      <c r="AQ363" t="s">
        <v>80</v>
      </c>
      <c r="AR363" t="s">
        <v>77</v>
      </c>
      <c r="AS363" t="s">
        <v>243</v>
      </c>
      <c r="AT363" t="s">
        <v>4457</v>
      </c>
      <c r="AU363" t="s">
        <v>83</v>
      </c>
      <c r="AV363" t="s">
        <v>4545</v>
      </c>
      <c r="AW363" t="str">
        <f>"3408460"</f>
        <v>3408460</v>
      </c>
    </row>
    <row r="364" spans="1:49">
      <c r="A364" t="str">
        <f t="shared" si="14"/>
        <v>19</v>
      </c>
      <c r="B364" t="s">
        <v>4315</v>
      </c>
      <c r="C364" t="str">
        <f>"3180"</f>
        <v>3180</v>
      </c>
      <c r="D364" t="s">
        <v>4546</v>
      </c>
      <c r="F364" t="s">
        <v>65</v>
      </c>
      <c r="G364" t="s">
        <v>1144</v>
      </c>
      <c r="H364" t="s">
        <v>4523</v>
      </c>
      <c r="I364" t="s">
        <v>89</v>
      </c>
      <c r="J364" s="2" t="s">
        <v>4547</v>
      </c>
      <c r="K364" t="s">
        <v>4548</v>
      </c>
      <c r="L364" t="s">
        <v>60</v>
      </c>
      <c r="M364" t="s">
        <v>4482</v>
      </c>
      <c r="N364" t="s">
        <v>62</v>
      </c>
      <c r="O364" t="str">
        <f>"08848"</f>
        <v>08848</v>
      </c>
      <c r="P364" t="s">
        <v>4548</v>
      </c>
      <c r="S364" t="s">
        <v>4482</v>
      </c>
      <c r="T364" t="s">
        <v>62</v>
      </c>
      <c r="U364" t="str">
        <f>"08848"</f>
        <v>08848</v>
      </c>
      <c r="W364" t="s">
        <v>4549</v>
      </c>
      <c r="X364" t="s">
        <v>54</v>
      </c>
      <c r="Y364" t="s">
        <v>291</v>
      </c>
      <c r="Z364" t="s">
        <v>560</v>
      </c>
      <c r="AA364" t="s">
        <v>112</v>
      </c>
      <c r="AB364" t="s">
        <v>65</v>
      </c>
      <c r="AC364" t="s">
        <v>1498</v>
      </c>
      <c r="AD364" t="s">
        <v>4527</v>
      </c>
      <c r="AE364" t="s">
        <v>181</v>
      </c>
      <c r="AF364" t="s">
        <v>77</v>
      </c>
      <c r="AG364" t="s">
        <v>873</v>
      </c>
      <c r="AH364" t="s">
        <v>4550</v>
      </c>
      <c r="AI364" t="s">
        <v>73</v>
      </c>
      <c r="AJ364" t="s">
        <v>77</v>
      </c>
      <c r="AK364" t="s">
        <v>873</v>
      </c>
      <c r="AL364" t="s">
        <v>4550</v>
      </c>
      <c r="AM364" t="s">
        <v>76</v>
      </c>
      <c r="AN364" t="s">
        <v>77</v>
      </c>
      <c r="AO364" t="s">
        <v>873</v>
      </c>
      <c r="AP364" t="s">
        <v>4550</v>
      </c>
      <c r="AQ364" t="s">
        <v>80</v>
      </c>
      <c r="AR364" t="s">
        <v>77</v>
      </c>
      <c r="AS364" t="s">
        <v>873</v>
      </c>
      <c r="AT364" t="s">
        <v>4550</v>
      </c>
      <c r="AU364" t="s">
        <v>83</v>
      </c>
      <c r="AV364" t="s">
        <v>4551</v>
      </c>
      <c r="AW364" t="str">
        <f>"3410170"</f>
        <v>3410170</v>
      </c>
    </row>
    <row r="365" spans="1:49">
      <c r="A365" t="str">
        <f t="shared" si="14"/>
        <v>19</v>
      </c>
      <c r="B365" t="s">
        <v>4315</v>
      </c>
      <c r="C365" t="str">
        <f>"3660"</f>
        <v>3660</v>
      </c>
      <c r="D365" t="s">
        <v>4552</v>
      </c>
      <c r="F365" t="s">
        <v>77</v>
      </c>
      <c r="G365" t="s">
        <v>3970</v>
      </c>
      <c r="H365" t="s">
        <v>1354</v>
      </c>
      <c r="I365" t="s">
        <v>89</v>
      </c>
      <c r="J365" s="2" t="s">
        <v>4553</v>
      </c>
      <c r="K365" t="s">
        <v>4554</v>
      </c>
      <c r="L365" t="s">
        <v>60</v>
      </c>
      <c r="M365" t="s">
        <v>4555</v>
      </c>
      <c r="N365" t="s">
        <v>62</v>
      </c>
      <c r="O365" t="str">
        <f>"08801"</f>
        <v>08801</v>
      </c>
      <c r="P365" t="s">
        <v>4554</v>
      </c>
      <c r="S365" t="s">
        <v>4555</v>
      </c>
      <c r="T365" t="s">
        <v>62</v>
      </c>
      <c r="U365" t="str">
        <f>"08801"</f>
        <v>08801</v>
      </c>
      <c r="W365" t="s">
        <v>4556</v>
      </c>
      <c r="X365" t="s">
        <v>54</v>
      </c>
      <c r="Y365" t="s">
        <v>81</v>
      </c>
      <c r="Z365" t="s">
        <v>4557</v>
      </c>
      <c r="AA365" t="s">
        <v>616</v>
      </c>
      <c r="AB365" t="s">
        <v>65</v>
      </c>
      <c r="AC365" t="s">
        <v>4558</v>
      </c>
      <c r="AD365" t="s">
        <v>4559</v>
      </c>
      <c r="AE365" t="s">
        <v>913</v>
      </c>
      <c r="AF365" t="s">
        <v>65</v>
      </c>
      <c r="AG365" t="s">
        <v>223</v>
      </c>
      <c r="AH365" t="s">
        <v>4560</v>
      </c>
      <c r="AI365" t="s">
        <v>73</v>
      </c>
      <c r="AJ365" t="s">
        <v>77</v>
      </c>
      <c r="AK365" t="s">
        <v>223</v>
      </c>
      <c r="AL365" t="s">
        <v>4561</v>
      </c>
      <c r="AM365" t="s">
        <v>76</v>
      </c>
      <c r="AN365" t="s">
        <v>77</v>
      </c>
      <c r="AO365" t="s">
        <v>4562</v>
      </c>
      <c r="AP365" t="s">
        <v>4563</v>
      </c>
      <c r="AQ365" t="s">
        <v>80</v>
      </c>
      <c r="AR365" t="s">
        <v>77</v>
      </c>
      <c r="AS365" t="s">
        <v>4564</v>
      </c>
      <c r="AT365" t="s">
        <v>4565</v>
      </c>
      <c r="AU365" t="s">
        <v>83</v>
      </c>
      <c r="AV365" t="s">
        <v>4566</v>
      </c>
      <c r="AW365" t="str">
        <f>"3411610"</f>
        <v>3411610</v>
      </c>
    </row>
    <row r="366" spans="1:49">
      <c r="A366" t="str">
        <f t="shared" si="14"/>
        <v>19</v>
      </c>
      <c r="B366" t="s">
        <v>4315</v>
      </c>
      <c r="C366" t="str">
        <f>"4350"</f>
        <v>4350</v>
      </c>
      <c r="D366" t="s">
        <v>4567</v>
      </c>
      <c r="F366" t="s">
        <v>65</v>
      </c>
      <c r="G366" t="s">
        <v>178</v>
      </c>
      <c r="H366" t="s">
        <v>4149</v>
      </c>
      <c r="I366" t="s">
        <v>89</v>
      </c>
      <c r="J366" s="2" t="s">
        <v>4568</v>
      </c>
      <c r="K366" t="s">
        <v>4569</v>
      </c>
      <c r="L366" t="s">
        <v>60</v>
      </c>
      <c r="M366" t="s">
        <v>4570</v>
      </c>
      <c r="N366" t="s">
        <v>62</v>
      </c>
      <c r="O366" t="str">
        <f>"08889"</f>
        <v>08889</v>
      </c>
      <c r="P366" t="s">
        <v>4571</v>
      </c>
      <c r="Q366" t="s">
        <v>4572</v>
      </c>
      <c r="S366" t="s">
        <v>4570</v>
      </c>
      <c r="T366" t="s">
        <v>62</v>
      </c>
      <c r="U366" t="str">
        <f>"08889"</f>
        <v>08889</v>
      </c>
      <c r="W366" t="s">
        <v>4573</v>
      </c>
      <c r="X366" t="s">
        <v>77</v>
      </c>
      <c r="Y366" t="s">
        <v>243</v>
      </c>
      <c r="Z366" t="s">
        <v>4574</v>
      </c>
      <c r="AA366" t="s">
        <v>68</v>
      </c>
      <c r="AB366" t="s">
        <v>54</v>
      </c>
      <c r="AC366" t="s">
        <v>4575</v>
      </c>
      <c r="AD366" t="s">
        <v>4576</v>
      </c>
      <c r="AE366" t="s">
        <v>587</v>
      </c>
      <c r="AF366" t="s">
        <v>77</v>
      </c>
      <c r="AG366" t="s">
        <v>166</v>
      </c>
      <c r="AH366" t="s">
        <v>4577</v>
      </c>
      <c r="AI366" t="s">
        <v>73</v>
      </c>
      <c r="AJ366" t="s">
        <v>70</v>
      </c>
      <c r="AK366" t="s">
        <v>2480</v>
      </c>
      <c r="AL366" t="s">
        <v>4578</v>
      </c>
      <c r="AM366" t="s">
        <v>76</v>
      </c>
      <c r="AN366" t="s">
        <v>77</v>
      </c>
      <c r="AO366" t="s">
        <v>182</v>
      </c>
      <c r="AP366" t="s">
        <v>4579</v>
      </c>
      <c r="AQ366" t="s">
        <v>80</v>
      </c>
      <c r="AR366" t="s">
        <v>77</v>
      </c>
      <c r="AS366" t="s">
        <v>4580</v>
      </c>
      <c r="AT366" t="s">
        <v>4581</v>
      </c>
      <c r="AU366" t="s">
        <v>83</v>
      </c>
      <c r="AV366" t="s">
        <v>4582</v>
      </c>
      <c r="AW366" t="str">
        <f>"3413710"</f>
        <v>3413710</v>
      </c>
    </row>
    <row r="367" spans="1:49">
      <c r="A367" t="str">
        <f t="shared" si="14"/>
        <v>19</v>
      </c>
      <c r="B367" t="s">
        <v>4315</v>
      </c>
      <c r="C367" t="str">
        <f>"1376"</f>
        <v>1376</v>
      </c>
      <c r="D367" t="s">
        <v>4583</v>
      </c>
      <c r="F367" t="s">
        <v>77</v>
      </c>
      <c r="G367" t="s">
        <v>166</v>
      </c>
      <c r="H367" t="s">
        <v>4584</v>
      </c>
      <c r="I367" t="s">
        <v>57</v>
      </c>
      <c r="J367" s="2" t="s">
        <v>4585</v>
      </c>
      <c r="K367" t="s">
        <v>4586</v>
      </c>
      <c r="L367" t="s">
        <v>60</v>
      </c>
      <c r="M367" t="s">
        <v>4587</v>
      </c>
      <c r="N367" t="s">
        <v>62</v>
      </c>
      <c r="O367" t="s">
        <v>4588</v>
      </c>
      <c r="P367" t="s">
        <v>4586</v>
      </c>
      <c r="S367" t="s">
        <v>4587</v>
      </c>
      <c r="T367" t="s">
        <v>62</v>
      </c>
      <c r="U367" t="str">
        <f>"08530"</f>
        <v>08530</v>
      </c>
      <c r="V367" t="str">
        <f>"3210"</f>
        <v>3210</v>
      </c>
      <c r="W367" t="s">
        <v>4589</v>
      </c>
      <c r="X367" t="s">
        <v>54</v>
      </c>
      <c r="Y367" t="s">
        <v>1111</v>
      </c>
      <c r="Z367" t="s">
        <v>4590</v>
      </c>
      <c r="AA367" t="s">
        <v>135</v>
      </c>
      <c r="AB367" t="s">
        <v>54</v>
      </c>
      <c r="AC367" t="s">
        <v>849</v>
      </c>
      <c r="AD367" t="s">
        <v>4591</v>
      </c>
      <c r="AE367" t="s">
        <v>69</v>
      </c>
      <c r="AF367" t="s">
        <v>70</v>
      </c>
      <c r="AG367" t="s">
        <v>1298</v>
      </c>
      <c r="AH367" t="s">
        <v>4592</v>
      </c>
      <c r="AI367" t="s">
        <v>73</v>
      </c>
      <c r="AJ367" t="s">
        <v>77</v>
      </c>
      <c r="AK367" t="s">
        <v>4240</v>
      </c>
      <c r="AL367" t="s">
        <v>4593</v>
      </c>
      <c r="AM367" t="s">
        <v>76</v>
      </c>
      <c r="AN367" t="s">
        <v>77</v>
      </c>
      <c r="AO367" t="s">
        <v>687</v>
      </c>
      <c r="AP367" t="s">
        <v>4594</v>
      </c>
      <c r="AQ367" t="s">
        <v>80</v>
      </c>
      <c r="AR367" t="s">
        <v>77</v>
      </c>
      <c r="AS367" t="s">
        <v>166</v>
      </c>
      <c r="AT367" t="s">
        <v>4584</v>
      </c>
      <c r="AU367" t="s">
        <v>83</v>
      </c>
      <c r="AV367" t="s">
        <v>4595</v>
      </c>
      <c r="AW367" t="str">
        <f>"3400769"</f>
        <v>3400769</v>
      </c>
    </row>
    <row r="368" spans="1:49">
      <c r="A368" t="str">
        <f t="shared" si="14"/>
        <v>19</v>
      </c>
      <c r="B368" t="s">
        <v>4315</v>
      </c>
      <c r="C368" t="str">
        <f>"5180"</f>
        <v>5180</v>
      </c>
      <c r="D368" t="s">
        <v>4596</v>
      </c>
      <c r="F368" t="s">
        <v>65</v>
      </c>
      <c r="G368" t="s">
        <v>155</v>
      </c>
      <c r="H368" t="s">
        <v>4597</v>
      </c>
      <c r="I368" t="s">
        <v>89</v>
      </c>
      <c r="J368" s="2" t="s">
        <v>4598</v>
      </c>
      <c r="K368" t="s">
        <v>4599</v>
      </c>
      <c r="L368" t="s">
        <v>60</v>
      </c>
      <c r="M368" t="s">
        <v>4356</v>
      </c>
      <c r="N368" t="s">
        <v>62</v>
      </c>
      <c r="O368" t="str">
        <f>"07830"</f>
        <v>07830</v>
      </c>
      <c r="P368" t="s">
        <v>4599</v>
      </c>
      <c r="S368" t="s">
        <v>4356</v>
      </c>
      <c r="T368" t="s">
        <v>62</v>
      </c>
      <c r="U368" t="str">
        <f>"07830"</f>
        <v>07830</v>
      </c>
      <c r="W368" t="s">
        <v>4600</v>
      </c>
      <c r="X368" t="s">
        <v>54</v>
      </c>
      <c r="Y368" t="s">
        <v>1666</v>
      </c>
      <c r="Z368" t="s">
        <v>4601</v>
      </c>
      <c r="AA368" t="s">
        <v>135</v>
      </c>
      <c r="AB368" t="s">
        <v>70</v>
      </c>
      <c r="AC368" t="s">
        <v>645</v>
      </c>
      <c r="AD368" t="s">
        <v>4602</v>
      </c>
      <c r="AE368" t="s">
        <v>181</v>
      </c>
      <c r="AF368" t="s">
        <v>65</v>
      </c>
      <c r="AG368" t="s">
        <v>120</v>
      </c>
      <c r="AH368" t="s">
        <v>600</v>
      </c>
      <c r="AI368" t="s">
        <v>73</v>
      </c>
      <c r="AJ368" t="s">
        <v>54</v>
      </c>
      <c r="AK368" t="s">
        <v>645</v>
      </c>
      <c r="AL368" t="s">
        <v>4602</v>
      </c>
      <c r="AM368" t="s">
        <v>76</v>
      </c>
      <c r="AR368" t="s">
        <v>54</v>
      </c>
      <c r="AS368" t="s">
        <v>645</v>
      </c>
      <c r="AT368" t="s">
        <v>4602</v>
      </c>
      <c r="AU368" t="s">
        <v>83</v>
      </c>
      <c r="AV368" t="s">
        <v>4603</v>
      </c>
      <c r="AW368" t="str">
        <f>"3416170"</f>
        <v>3416170</v>
      </c>
    </row>
    <row r="369" spans="1:49">
      <c r="A369" t="str">
        <f t="shared" si="14"/>
        <v>19</v>
      </c>
      <c r="B369" t="s">
        <v>4315</v>
      </c>
      <c r="C369" t="str">
        <f>"5270"</f>
        <v>5270</v>
      </c>
      <c r="D369" t="s">
        <v>4604</v>
      </c>
      <c r="F369" t="s">
        <v>77</v>
      </c>
      <c r="G369" t="s">
        <v>663</v>
      </c>
      <c r="H369" t="s">
        <v>1156</v>
      </c>
      <c r="I369" t="s">
        <v>89</v>
      </c>
      <c r="J369" s="2" t="s">
        <v>4605</v>
      </c>
      <c r="K369" t="s">
        <v>4606</v>
      </c>
      <c r="L369" t="s">
        <v>60</v>
      </c>
      <c r="M369" t="s">
        <v>4607</v>
      </c>
      <c r="N369" t="s">
        <v>62</v>
      </c>
      <c r="O369" t="str">
        <f>"08827"</f>
        <v>08827</v>
      </c>
      <c r="P369" t="s">
        <v>4606</v>
      </c>
      <c r="S369" t="s">
        <v>4607</v>
      </c>
      <c r="T369" t="s">
        <v>62</v>
      </c>
      <c r="U369" t="str">
        <f>"08827"</f>
        <v>08827</v>
      </c>
      <c r="W369" t="s">
        <v>4608</v>
      </c>
      <c r="X369" t="s">
        <v>70</v>
      </c>
      <c r="Y369" t="s">
        <v>233</v>
      </c>
      <c r="Z369" t="s">
        <v>4442</v>
      </c>
      <c r="AA369" t="s">
        <v>135</v>
      </c>
      <c r="AB369" t="s">
        <v>54</v>
      </c>
      <c r="AC369" t="s">
        <v>932</v>
      </c>
      <c r="AD369" t="s">
        <v>4443</v>
      </c>
      <c r="AE369" t="s">
        <v>181</v>
      </c>
      <c r="AF369" t="s">
        <v>54</v>
      </c>
      <c r="AG369" t="s">
        <v>932</v>
      </c>
      <c r="AH369" t="s">
        <v>4443</v>
      </c>
      <c r="AI369" t="s">
        <v>73</v>
      </c>
      <c r="AJ369" t="s">
        <v>54</v>
      </c>
      <c r="AK369" t="s">
        <v>932</v>
      </c>
      <c r="AL369" t="s">
        <v>4443</v>
      </c>
      <c r="AM369" t="s">
        <v>76</v>
      </c>
      <c r="AN369" t="s">
        <v>54</v>
      </c>
      <c r="AO369" t="s">
        <v>807</v>
      </c>
      <c r="AP369" t="s">
        <v>4609</v>
      </c>
      <c r="AQ369" t="s">
        <v>80</v>
      </c>
      <c r="AR369" t="s">
        <v>77</v>
      </c>
      <c r="AS369" t="s">
        <v>422</v>
      </c>
      <c r="AT369" t="s">
        <v>4610</v>
      </c>
      <c r="AU369" t="s">
        <v>83</v>
      </c>
      <c r="AV369" t="s">
        <v>4611</v>
      </c>
      <c r="AW369" t="str">
        <f>"3416440"</f>
        <v>3416440</v>
      </c>
    </row>
    <row r="370" spans="1:49">
      <c r="A370" t="str">
        <f>"80"</f>
        <v>80</v>
      </c>
      <c r="B370" t="s">
        <v>4612</v>
      </c>
      <c r="C370" t="str">
        <f>"7895"</f>
        <v>7895</v>
      </c>
      <c r="D370" t="s">
        <v>4613</v>
      </c>
      <c r="E370" t="str">
        <f>"920"</f>
        <v>920</v>
      </c>
      <c r="F370" t="s">
        <v>70</v>
      </c>
      <c r="G370" t="s">
        <v>4614</v>
      </c>
      <c r="H370" t="s">
        <v>4615</v>
      </c>
      <c r="I370" t="s">
        <v>1518</v>
      </c>
      <c r="J370" s="2" t="s">
        <v>4616</v>
      </c>
      <c r="K370" t="s">
        <v>4617</v>
      </c>
      <c r="L370" t="s">
        <v>60</v>
      </c>
      <c r="M370" t="s">
        <v>61</v>
      </c>
      <c r="N370" t="s">
        <v>62</v>
      </c>
      <c r="O370" t="str">
        <f>"08611"</f>
        <v>08611</v>
      </c>
      <c r="P370" t="s">
        <v>4617</v>
      </c>
      <c r="S370" t="s">
        <v>61</v>
      </c>
      <c r="T370" t="s">
        <v>62</v>
      </c>
      <c r="U370" t="str">
        <f>"08611"</f>
        <v>08611</v>
      </c>
      <c r="W370" t="s">
        <v>4618</v>
      </c>
      <c r="X370" t="s">
        <v>77</v>
      </c>
      <c r="Y370" t="s">
        <v>120</v>
      </c>
      <c r="Z370" t="s">
        <v>491</v>
      </c>
      <c r="AA370" t="s">
        <v>68</v>
      </c>
      <c r="AB370" t="s">
        <v>54</v>
      </c>
      <c r="AC370" t="s">
        <v>266</v>
      </c>
      <c r="AD370" t="s">
        <v>4619</v>
      </c>
      <c r="AE370" t="s">
        <v>181</v>
      </c>
      <c r="AF370" t="s">
        <v>70</v>
      </c>
      <c r="AG370" t="s">
        <v>4614</v>
      </c>
      <c r="AH370" t="s">
        <v>4615</v>
      </c>
      <c r="AI370" t="s">
        <v>73</v>
      </c>
      <c r="AJ370" t="s">
        <v>70</v>
      </c>
      <c r="AK370" t="s">
        <v>4614</v>
      </c>
      <c r="AL370" t="s">
        <v>4615</v>
      </c>
      <c r="AM370" t="s">
        <v>76</v>
      </c>
      <c r="AR370" t="s">
        <v>70</v>
      </c>
      <c r="AS370" t="s">
        <v>1526</v>
      </c>
      <c r="AT370" t="s">
        <v>4620</v>
      </c>
      <c r="AU370" t="s">
        <v>83</v>
      </c>
      <c r="AV370" t="s">
        <v>4621</v>
      </c>
    </row>
    <row r="371" spans="1:49">
      <c r="A371" t="str">
        <f>"21"</f>
        <v>21</v>
      </c>
      <c r="B371" t="s">
        <v>4612</v>
      </c>
      <c r="C371" t="str">
        <f>"3105"</f>
        <v>3105</v>
      </c>
      <c r="D371" t="s">
        <v>4622</v>
      </c>
      <c r="F371" t="s">
        <v>65</v>
      </c>
      <c r="G371" t="s">
        <v>251</v>
      </c>
      <c r="H371" t="s">
        <v>4623</v>
      </c>
      <c r="I371" t="s">
        <v>89</v>
      </c>
      <c r="J371" s="2" t="s">
        <v>4624</v>
      </c>
      <c r="K371" t="s">
        <v>4625</v>
      </c>
      <c r="L371" t="s">
        <v>60</v>
      </c>
      <c r="M371" t="s">
        <v>61</v>
      </c>
      <c r="N371" t="s">
        <v>62</v>
      </c>
      <c r="O371" t="str">
        <f>"08690"</f>
        <v>08690</v>
      </c>
      <c r="P371" t="s">
        <v>4625</v>
      </c>
      <c r="S371" t="s">
        <v>61</v>
      </c>
      <c r="T371" t="s">
        <v>62</v>
      </c>
      <c r="U371" t="str">
        <f>"08690"</f>
        <v>08690</v>
      </c>
      <c r="W371" t="s">
        <v>4626</v>
      </c>
      <c r="X371" t="s">
        <v>70</v>
      </c>
      <c r="Y371" t="s">
        <v>1209</v>
      </c>
      <c r="Z371" t="s">
        <v>2692</v>
      </c>
      <c r="AA371" t="s">
        <v>135</v>
      </c>
      <c r="AB371" t="s">
        <v>70</v>
      </c>
      <c r="AC371" t="s">
        <v>682</v>
      </c>
      <c r="AD371" t="s">
        <v>4627</v>
      </c>
      <c r="AE371" t="s">
        <v>181</v>
      </c>
      <c r="AF371" t="s">
        <v>77</v>
      </c>
      <c r="AG371" t="s">
        <v>182</v>
      </c>
      <c r="AH371" t="s">
        <v>4628</v>
      </c>
      <c r="AI371" t="s">
        <v>73</v>
      </c>
      <c r="AJ371" t="s">
        <v>70</v>
      </c>
      <c r="AK371" t="s">
        <v>182</v>
      </c>
      <c r="AL371" t="s">
        <v>4628</v>
      </c>
      <c r="AM371" t="s">
        <v>76</v>
      </c>
      <c r="AN371" t="s">
        <v>77</v>
      </c>
      <c r="AO371" t="s">
        <v>4522</v>
      </c>
      <c r="AP371" t="s">
        <v>4629</v>
      </c>
      <c r="AQ371" t="s">
        <v>80</v>
      </c>
      <c r="AR371" t="s">
        <v>54</v>
      </c>
      <c r="AS371" t="s">
        <v>1209</v>
      </c>
      <c r="AT371" t="s">
        <v>2692</v>
      </c>
      <c r="AU371" t="s">
        <v>83</v>
      </c>
      <c r="AV371" t="s">
        <v>4630</v>
      </c>
      <c r="AW371" t="str">
        <f>"3409950"</f>
        <v>3409950</v>
      </c>
    </row>
    <row r="372" spans="1:49">
      <c r="A372" t="str">
        <f>"21"</f>
        <v>21</v>
      </c>
      <c r="B372" t="s">
        <v>4612</v>
      </c>
      <c r="C372" t="str">
        <f>"1245"</f>
        <v>1245</v>
      </c>
      <c r="D372" t="s">
        <v>4631</v>
      </c>
      <c r="F372" t="s">
        <v>77</v>
      </c>
      <c r="G372" t="s">
        <v>404</v>
      </c>
      <c r="H372" t="s">
        <v>4632</v>
      </c>
      <c r="I372" t="s">
        <v>89</v>
      </c>
      <c r="J372" s="2" t="s">
        <v>4633</v>
      </c>
      <c r="K372" t="s">
        <v>4634</v>
      </c>
      <c r="L372" t="s">
        <v>60</v>
      </c>
      <c r="M372" t="s">
        <v>4635</v>
      </c>
      <c r="N372" t="s">
        <v>62</v>
      </c>
      <c r="O372" t="str">
        <f>"08520"</f>
        <v>08520</v>
      </c>
      <c r="P372" t="s">
        <v>4634</v>
      </c>
      <c r="S372" t="s">
        <v>4635</v>
      </c>
      <c r="T372" t="s">
        <v>62</v>
      </c>
      <c r="U372" t="str">
        <f>"08520"</f>
        <v>08520</v>
      </c>
      <c r="W372" t="s">
        <v>4636</v>
      </c>
      <c r="X372" t="s">
        <v>77</v>
      </c>
      <c r="Y372" t="s">
        <v>555</v>
      </c>
      <c r="Z372" t="s">
        <v>478</v>
      </c>
      <c r="AA372" t="s">
        <v>135</v>
      </c>
      <c r="AB372" t="s">
        <v>77</v>
      </c>
      <c r="AC372" t="s">
        <v>190</v>
      </c>
      <c r="AD372" t="s">
        <v>4637</v>
      </c>
      <c r="AE372" t="s">
        <v>587</v>
      </c>
      <c r="AF372" t="s">
        <v>77</v>
      </c>
      <c r="AG372" t="s">
        <v>404</v>
      </c>
      <c r="AH372" t="s">
        <v>4638</v>
      </c>
      <c r="AI372" t="s">
        <v>73</v>
      </c>
      <c r="AJ372" t="s">
        <v>77</v>
      </c>
      <c r="AK372" t="s">
        <v>287</v>
      </c>
      <c r="AL372" t="s">
        <v>4639</v>
      </c>
      <c r="AM372" t="s">
        <v>76</v>
      </c>
      <c r="AN372" t="s">
        <v>77</v>
      </c>
      <c r="AO372" t="s">
        <v>120</v>
      </c>
      <c r="AP372" t="s">
        <v>4640</v>
      </c>
      <c r="AQ372" t="s">
        <v>80</v>
      </c>
      <c r="AR372" t="s">
        <v>77</v>
      </c>
      <c r="AS372" t="s">
        <v>555</v>
      </c>
      <c r="AT372" t="s">
        <v>478</v>
      </c>
      <c r="AU372" t="s">
        <v>83</v>
      </c>
      <c r="AV372" t="s">
        <v>4641</v>
      </c>
      <c r="AW372" t="str">
        <f>"3404320"</f>
        <v>3404320</v>
      </c>
    </row>
    <row r="373" spans="1:49">
      <c r="A373" t="str">
        <f>"21"</f>
        <v>21</v>
      </c>
      <c r="B373" t="s">
        <v>4612</v>
      </c>
      <c r="C373" t="str">
        <f>"1430"</f>
        <v>1430</v>
      </c>
      <c r="D373" t="s">
        <v>4642</v>
      </c>
      <c r="F373" t="s">
        <v>77</v>
      </c>
      <c r="G373" t="s">
        <v>120</v>
      </c>
      <c r="H373" t="s">
        <v>4643</v>
      </c>
      <c r="I373" t="s">
        <v>89</v>
      </c>
      <c r="J373" s="2" t="s">
        <v>4644</v>
      </c>
      <c r="K373" t="s">
        <v>4645</v>
      </c>
      <c r="L373" t="s">
        <v>60</v>
      </c>
      <c r="M373" t="s">
        <v>4646</v>
      </c>
      <c r="N373" t="s">
        <v>62</v>
      </c>
      <c r="O373" t="str">
        <f>"08618"</f>
        <v>08618</v>
      </c>
      <c r="P373" t="s">
        <v>4645</v>
      </c>
      <c r="S373" t="s">
        <v>4646</v>
      </c>
      <c r="T373" t="s">
        <v>62</v>
      </c>
      <c r="U373" t="str">
        <f>"08618"</f>
        <v>08618</v>
      </c>
      <c r="W373" t="s">
        <v>4647</v>
      </c>
      <c r="X373" t="s">
        <v>77</v>
      </c>
      <c r="Y373" t="s">
        <v>1067</v>
      </c>
      <c r="Z373" t="s">
        <v>4648</v>
      </c>
      <c r="AA373" t="s">
        <v>68</v>
      </c>
      <c r="AB373" t="s">
        <v>77</v>
      </c>
      <c r="AC373" t="s">
        <v>3119</v>
      </c>
      <c r="AD373" t="s">
        <v>4649</v>
      </c>
      <c r="AE373" t="s">
        <v>115</v>
      </c>
      <c r="AF373" t="s">
        <v>65</v>
      </c>
      <c r="AG373" t="s">
        <v>429</v>
      </c>
      <c r="AH373" t="s">
        <v>2277</v>
      </c>
      <c r="AI373" t="s">
        <v>73</v>
      </c>
      <c r="AJ373" t="s">
        <v>65</v>
      </c>
      <c r="AK373" t="s">
        <v>429</v>
      </c>
      <c r="AL373" t="s">
        <v>2277</v>
      </c>
      <c r="AM373" t="s">
        <v>76</v>
      </c>
      <c r="AN373" t="s">
        <v>77</v>
      </c>
      <c r="AO373" t="s">
        <v>3119</v>
      </c>
      <c r="AP373" t="s">
        <v>4649</v>
      </c>
      <c r="AQ373" t="s">
        <v>80</v>
      </c>
      <c r="AR373" t="s">
        <v>77</v>
      </c>
      <c r="AS373" t="s">
        <v>120</v>
      </c>
      <c r="AT373" t="s">
        <v>4643</v>
      </c>
      <c r="AU373" t="s">
        <v>83</v>
      </c>
      <c r="AV373" t="s">
        <v>4650</v>
      </c>
      <c r="AW373" t="str">
        <f>"3404920"</f>
        <v>3404920</v>
      </c>
    </row>
    <row r="374" spans="1:49">
      <c r="A374" t="str">
        <f>"80"</f>
        <v>80</v>
      </c>
      <c r="B374" t="s">
        <v>4612</v>
      </c>
      <c r="C374" t="str">
        <f>"6017"</f>
        <v>6017</v>
      </c>
      <c r="D374" t="s">
        <v>4651</v>
      </c>
      <c r="E374" t="str">
        <f>"932"</f>
        <v>932</v>
      </c>
      <c r="G374" t="s">
        <v>4652</v>
      </c>
      <c r="H374" t="s">
        <v>2179</v>
      </c>
      <c r="I374" t="s">
        <v>128</v>
      </c>
      <c r="J374" s="2" t="s">
        <v>4653</v>
      </c>
      <c r="K374" t="s">
        <v>4654</v>
      </c>
      <c r="L374" t="s">
        <v>60</v>
      </c>
      <c r="M374" t="s">
        <v>61</v>
      </c>
      <c r="N374" t="s">
        <v>62</v>
      </c>
      <c r="O374" t="str">
        <f>"08618"</f>
        <v>08618</v>
      </c>
      <c r="P374" t="s">
        <v>4654</v>
      </c>
      <c r="S374" t="s">
        <v>61</v>
      </c>
      <c r="T374" t="s">
        <v>62</v>
      </c>
      <c r="U374" t="str">
        <f>"08618"</f>
        <v>08618</v>
      </c>
      <c r="W374" t="s">
        <v>4655</v>
      </c>
      <c r="Y374" t="s">
        <v>287</v>
      </c>
      <c r="Z374" t="s">
        <v>4656</v>
      </c>
      <c r="AA374" t="s">
        <v>112</v>
      </c>
      <c r="AC374" t="s">
        <v>4657</v>
      </c>
      <c r="AD374" t="s">
        <v>4658</v>
      </c>
      <c r="AE374" t="s">
        <v>181</v>
      </c>
      <c r="AG374" t="s">
        <v>353</v>
      </c>
      <c r="AH374" t="s">
        <v>4659</v>
      </c>
      <c r="AI374" t="s">
        <v>73</v>
      </c>
      <c r="AK374" t="s">
        <v>353</v>
      </c>
      <c r="AL374" t="s">
        <v>4659</v>
      </c>
      <c r="AM374" t="s">
        <v>76</v>
      </c>
      <c r="AO374" t="s">
        <v>4112</v>
      </c>
      <c r="AP374" t="s">
        <v>4660</v>
      </c>
      <c r="AQ374" t="s">
        <v>80</v>
      </c>
      <c r="AS374" t="s">
        <v>1508</v>
      </c>
      <c r="AT374" t="s">
        <v>4661</v>
      </c>
      <c r="AU374" t="s">
        <v>83</v>
      </c>
      <c r="AV374" t="s">
        <v>4662</v>
      </c>
      <c r="AW374" t="str">
        <f>"3400717"</f>
        <v>3400717</v>
      </c>
    </row>
    <row r="375" spans="1:49">
      <c r="A375" t="str">
        <f>"21"</f>
        <v>21</v>
      </c>
      <c r="B375" t="s">
        <v>4612</v>
      </c>
      <c r="C375" t="str">
        <f>"1950"</f>
        <v>1950</v>
      </c>
      <c r="D375" t="s">
        <v>4663</v>
      </c>
      <c r="F375" t="s">
        <v>65</v>
      </c>
      <c r="G375" t="s">
        <v>436</v>
      </c>
      <c r="H375" t="s">
        <v>4664</v>
      </c>
      <c r="I375" t="s">
        <v>89</v>
      </c>
      <c r="J375" s="2" t="s">
        <v>4665</v>
      </c>
      <c r="K375" t="s">
        <v>4666</v>
      </c>
      <c r="L375" t="s">
        <v>60</v>
      </c>
      <c r="M375" t="s">
        <v>2730</v>
      </c>
      <c r="N375" t="s">
        <v>62</v>
      </c>
      <c r="O375" t="str">
        <f>"08690"</f>
        <v>08690</v>
      </c>
      <c r="P375" t="s">
        <v>4666</v>
      </c>
      <c r="S375" t="s">
        <v>2730</v>
      </c>
      <c r="T375" t="s">
        <v>62</v>
      </c>
      <c r="U375" t="str">
        <f>"08690"</f>
        <v>08690</v>
      </c>
      <c r="W375" t="s">
        <v>4667</v>
      </c>
      <c r="X375" t="s">
        <v>70</v>
      </c>
      <c r="Y375" t="s">
        <v>3142</v>
      </c>
      <c r="Z375" t="s">
        <v>4668</v>
      </c>
      <c r="AA375" t="s">
        <v>135</v>
      </c>
      <c r="AB375" t="s">
        <v>70</v>
      </c>
      <c r="AC375" t="s">
        <v>4097</v>
      </c>
      <c r="AD375" t="s">
        <v>4669</v>
      </c>
      <c r="AE375" t="s">
        <v>98</v>
      </c>
      <c r="AF375" t="s">
        <v>77</v>
      </c>
      <c r="AG375" t="s">
        <v>4670</v>
      </c>
      <c r="AH375" t="s">
        <v>419</v>
      </c>
      <c r="AI375" t="s">
        <v>73</v>
      </c>
      <c r="AJ375" t="s">
        <v>77</v>
      </c>
      <c r="AK375" t="s">
        <v>367</v>
      </c>
      <c r="AL375" t="s">
        <v>4671</v>
      </c>
      <c r="AM375" t="s">
        <v>76</v>
      </c>
      <c r="AN375" t="s">
        <v>77</v>
      </c>
      <c r="AO375" t="s">
        <v>182</v>
      </c>
      <c r="AP375" t="s">
        <v>4672</v>
      </c>
      <c r="AQ375" t="s">
        <v>80</v>
      </c>
      <c r="AR375" t="s">
        <v>77</v>
      </c>
      <c r="AS375" t="s">
        <v>4670</v>
      </c>
      <c r="AT375" t="s">
        <v>419</v>
      </c>
      <c r="AU375" t="s">
        <v>83</v>
      </c>
      <c r="AV375" t="s">
        <v>4673</v>
      </c>
      <c r="AW375" t="str">
        <f>"3406540"</f>
        <v>3406540</v>
      </c>
    </row>
    <row r="376" spans="1:49">
      <c r="A376" t="str">
        <f>"21"</f>
        <v>21</v>
      </c>
      <c r="B376" t="s">
        <v>4612</v>
      </c>
      <c r="C376" t="str">
        <f>"2280"</f>
        <v>2280</v>
      </c>
      <c r="D376" t="s">
        <v>4674</v>
      </c>
      <c r="F376" t="s">
        <v>65</v>
      </c>
      <c r="G376" t="s">
        <v>319</v>
      </c>
      <c r="H376" t="s">
        <v>824</v>
      </c>
      <c r="I376" t="s">
        <v>89</v>
      </c>
      <c r="J376" s="2" t="s">
        <v>4675</v>
      </c>
      <c r="K376" t="s">
        <v>4676</v>
      </c>
      <c r="L376" t="s">
        <v>60</v>
      </c>
      <c r="M376" t="s">
        <v>4677</v>
      </c>
      <c r="N376" t="s">
        <v>62</v>
      </c>
      <c r="O376" t="str">
        <f>"08534"</f>
        <v>08534</v>
      </c>
      <c r="P376" t="s">
        <v>4676</v>
      </c>
      <c r="S376" t="s">
        <v>4677</v>
      </c>
      <c r="T376" t="s">
        <v>62</v>
      </c>
      <c r="U376" t="str">
        <f>"08534"</f>
        <v>08534</v>
      </c>
      <c r="W376" t="s">
        <v>4678</v>
      </c>
      <c r="X376" t="s">
        <v>77</v>
      </c>
      <c r="Y376" t="s">
        <v>873</v>
      </c>
      <c r="Z376" t="s">
        <v>4679</v>
      </c>
      <c r="AA376" t="s">
        <v>135</v>
      </c>
      <c r="AB376" t="s">
        <v>70</v>
      </c>
      <c r="AC376" t="s">
        <v>4680</v>
      </c>
      <c r="AD376" t="s">
        <v>4681</v>
      </c>
      <c r="AE376" t="s">
        <v>587</v>
      </c>
      <c r="AF376" t="s">
        <v>70</v>
      </c>
      <c r="AG376" t="s">
        <v>2874</v>
      </c>
      <c r="AH376" t="s">
        <v>4682</v>
      </c>
      <c r="AI376" t="s">
        <v>73</v>
      </c>
      <c r="AJ376" t="s">
        <v>77</v>
      </c>
      <c r="AK376" t="s">
        <v>539</v>
      </c>
      <c r="AL376" t="s">
        <v>4683</v>
      </c>
      <c r="AM376" t="s">
        <v>76</v>
      </c>
      <c r="AN376" t="s">
        <v>77</v>
      </c>
      <c r="AO376" t="s">
        <v>1067</v>
      </c>
      <c r="AP376" t="s">
        <v>4684</v>
      </c>
      <c r="AQ376" t="s">
        <v>80</v>
      </c>
      <c r="AR376" t="s">
        <v>70</v>
      </c>
      <c r="AS376" t="s">
        <v>4685</v>
      </c>
      <c r="AT376" t="s">
        <v>824</v>
      </c>
      <c r="AU376" t="s">
        <v>83</v>
      </c>
      <c r="AV376" t="s">
        <v>4686</v>
      </c>
      <c r="AW376" t="str">
        <f>"3407530"</f>
        <v>3407530</v>
      </c>
    </row>
    <row r="377" spans="1:49">
      <c r="A377" t="str">
        <f>"80"</f>
        <v>80</v>
      </c>
      <c r="B377" t="s">
        <v>4612</v>
      </c>
      <c r="C377" t="str">
        <f>"6810"</f>
        <v>6810</v>
      </c>
      <c r="D377" t="s">
        <v>4687</v>
      </c>
      <c r="E377" t="str">
        <f>"940"</f>
        <v>940</v>
      </c>
      <c r="G377" t="s">
        <v>716</v>
      </c>
      <c r="H377" t="s">
        <v>4688</v>
      </c>
      <c r="I377" t="s">
        <v>128</v>
      </c>
      <c r="J377" s="2" t="s">
        <v>4689</v>
      </c>
      <c r="K377" t="s">
        <v>4690</v>
      </c>
      <c r="L377" t="s">
        <v>60</v>
      </c>
      <c r="M377" t="s">
        <v>61</v>
      </c>
      <c r="N377" t="s">
        <v>62</v>
      </c>
      <c r="O377" t="s">
        <v>4691</v>
      </c>
      <c r="P377" t="s">
        <v>4690</v>
      </c>
      <c r="S377" t="s">
        <v>61</v>
      </c>
      <c r="T377" t="s">
        <v>62</v>
      </c>
      <c r="U377" t="str">
        <f>"08611"</f>
        <v>08611</v>
      </c>
      <c r="V377" t="str">
        <f>"2417"</f>
        <v>2417</v>
      </c>
      <c r="W377" t="s">
        <v>4692</v>
      </c>
      <c r="X377" t="s">
        <v>77</v>
      </c>
      <c r="Y377" t="s">
        <v>994</v>
      </c>
      <c r="Z377" t="s">
        <v>4693</v>
      </c>
      <c r="AA377" t="s">
        <v>112</v>
      </c>
      <c r="AC377" t="s">
        <v>716</v>
      </c>
      <c r="AD377" t="s">
        <v>4688</v>
      </c>
      <c r="AE377" t="s">
        <v>98</v>
      </c>
      <c r="AG377" t="s">
        <v>716</v>
      </c>
      <c r="AH377" t="s">
        <v>4688</v>
      </c>
      <c r="AI377" t="s">
        <v>73</v>
      </c>
      <c r="AK377" t="s">
        <v>716</v>
      </c>
      <c r="AL377" t="s">
        <v>4688</v>
      </c>
      <c r="AM377" t="s">
        <v>76</v>
      </c>
      <c r="AO377" t="s">
        <v>716</v>
      </c>
      <c r="AP377" t="s">
        <v>4688</v>
      </c>
      <c r="AQ377" t="s">
        <v>80</v>
      </c>
      <c r="AS377" t="s">
        <v>716</v>
      </c>
      <c r="AT377" t="s">
        <v>4688</v>
      </c>
      <c r="AU377" t="s">
        <v>83</v>
      </c>
      <c r="AV377" t="s">
        <v>4694</v>
      </c>
      <c r="AW377" t="str">
        <f>"3400041"</f>
        <v>3400041</v>
      </c>
    </row>
    <row r="378" spans="1:49">
      <c r="A378" t="str">
        <f>"21"</f>
        <v>21</v>
      </c>
      <c r="B378" t="s">
        <v>4612</v>
      </c>
      <c r="C378" t="str">
        <f>"2580"</f>
        <v>2580</v>
      </c>
      <c r="D378" t="s">
        <v>4695</v>
      </c>
      <c r="F378" t="s">
        <v>65</v>
      </c>
      <c r="G378" t="s">
        <v>974</v>
      </c>
      <c r="H378" t="s">
        <v>4696</v>
      </c>
      <c r="I378" t="s">
        <v>57</v>
      </c>
      <c r="J378" s="2" t="s">
        <v>4697</v>
      </c>
      <c r="K378" t="s">
        <v>4698</v>
      </c>
      <c r="L378" t="s">
        <v>60</v>
      </c>
      <c r="M378" t="s">
        <v>4699</v>
      </c>
      <c r="N378" t="s">
        <v>62</v>
      </c>
      <c r="O378" t="str">
        <f>"08648"</f>
        <v>08648</v>
      </c>
      <c r="P378" t="s">
        <v>4698</v>
      </c>
      <c r="S378" t="s">
        <v>4699</v>
      </c>
      <c r="T378" t="s">
        <v>62</v>
      </c>
      <c r="U378" t="str">
        <f>"08648"</f>
        <v>08648</v>
      </c>
      <c r="W378" t="s">
        <v>4700</v>
      </c>
      <c r="X378" t="s">
        <v>77</v>
      </c>
      <c r="Y378" t="s">
        <v>319</v>
      </c>
      <c r="Z378" t="s">
        <v>4701</v>
      </c>
      <c r="AA378" t="s">
        <v>135</v>
      </c>
      <c r="AB378" t="s">
        <v>54</v>
      </c>
      <c r="AC378" t="s">
        <v>447</v>
      </c>
      <c r="AD378" t="s">
        <v>4702</v>
      </c>
      <c r="AE378" t="s">
        <v>587</v>
      </c>
      <c r="AF378" t="s">
        <v>70</v>
      </c>
      <c r="AG378" t="s">
        <v>3009</v>
      </c>
      <c r="AH378" t="s">
        <v>4703</v>
      </c>
      <c r="AI378" t="s">
        <v>73</v>
      </c>
      <c r="AJ378" t="s">
        <v>70</v>
      </c>
      <c r="AK378" t="s">
        <v>3009</v>
      </c>
      <c r="AL378" t="s">
        <v>4703</v>
      </c>
      <c r="AM378" t="s">
        <v>76</v>
      </c>
      <c r="AN378" t="s">
        <v>77</v>
      </c>
      <c r="AO378" t="s">
        <v>534</v>
      </c>
      <c r="AP378" t="s">
        <v>4704</v>
      </c>
      <c r="AQ378" t="s">
        <v>80</v>
      </c>
      <c r="AR378" t="s">
        <v>65</v>
      </c>
      <c r="AS378" t="s">
        <v>422</v>
      </c>
      <c r="AT378" t="s">
        <v>4705</v>
      </c>
      <c r="AU378" t="s">
        <v>83</v>
      </c>
      <c r="AV378" t="s">
        <v>4706</v>
      </c>
      <c r="AW378" t="str">
        <f>"3408400"</f>
        <v>3408400</v>
      </c>
    </row>
    <row r="379" spans="1:49">
      <c r="A379" t="str">
        <f>"21"</f>
        <v>21</v>
      </c>
      <c r="B379" t="s">
        <v>4612</v>
      </c>
      <c r="C379" t="str">
        <f>"3103"</f>
        <v>3103</v>
      </c>
      <c r="D379" t="s">
        <v>4707</v>
      </c>
      <c r="G379" t="s">
        <v>251</v>
      </c>
      <c r="H379" t="s">
        <v>4623</v>
      </c>
      <c r="I379" t="s">
        <v>89</v>
      </c>
      <c r="J379" s="2" t="s">
        <v>4708</v>
      </c>
      <c r="K379" t="s">
        <v>4709</v>
      </c>
      <c r="L379" t="s">
        <v>4710</v>
      </c>
      <c r="M379" t="s">
        <v>2730</v>
      </c>
      <c r="N379" t="s">
        <v>62</v>
      </c>
      <c r="O379" t="str">
        <f>"08690"</f>
        <v>08690</v>
      </c>
      <c r="P379" t="s">
        <v>4709</v>
      </c>
      <c r="Q379" t="s">
        <v>4711</v>
      </c>
      <c r="S379" t="s">
        <v>2730</v>
      </c>
      <c r="T379" t="s">
        <v>62</v>
      </c>
      <c r="U379" t="str">
        <f>"08690"</f>
        <v>08690</v>
      </c>
      <c r="W379" t="s">
        <v>4712</v>
      </c>
      <c r="Y379" t="s">
        <v>1209</v>
      </c>
      <c r="Z379" t="s">
        <v>2692</v>
      </c>
      <c r="AA379" t="s">
        <v>135</v>
      </c>
      <c r="AC379" t="s">
        <v>4299</v>
      </c>
      <c r="AD379" t="s">
        <v>4713</v>
      </c>
      <c r="AE379" t="s">
        <v>69</v>
      </c>
      <c r="AG379" t="s">
        <v>4714</v>
      </c>
      <c r="AH379" t="s">
        <v>4715</v>
      </c>
      <c r="AI379" t="s">
        <v>73</v>
      </c>
      <c r="AK379" t="s">
        <v>883</v>
      </c>
      <c r="AL379" t="s">
        <v>4716</v>
      </c>
      <c r="AM379" t="s">
        <v>3429</v>
      </c>
      <c r="AO379" t="s">
        <v>4522</v>
      </c>
      <c r="AP379" t="s">
        <v>4629</v>
      </c>
      <c r="AQ379" t="s">
        <v>80</v>
      </c>
      <c r="AS379" t="s">
        <v>4522</v>
      </c>
      <c r="AT379" t="s">
        <v>4717</v>
      </c>
      <c r="AU379" t="s">
        <v>83</v>
      </c>
      <c r="AV379" t="s">
        <v>4718</v>
      </c>
      <c r="AW379" t="str">
        <f>"3480200"</f>
        <v>3480200</v>
      </c>
    </row>
    <row r="380" spans="1:49">
      <c r="A380" t="str">
        <f>"80"</f>
        <v>80</v>
      </c>
      <c r="B380" t="s">
        <v>4612</v>
      </c>
      <c r="C380" t="str">
        <f>"7500"</f>
        <v>7500</v>
      </c>
      <c r="D380" t="s">
        <v>4719</v>
      </c>
      <c r="E380" t="str">
        <f>"900"</f>
        <v>900</v>
      </c>
      <c r="F380" t="s">
        <v>54</v>
      </c>
      <c r="G380" t="s">
        <v>1209</v>
      </c>
      <c r="H380" t="s">
        <v>2073</v>
      </c>
      <c r="I380" t="s">
        <v>128</v>
      </c>
      <c r="J380" s="2" t="s">
        <v>4720</v>
      </c>
      <c r="K380" t="s">
        <v>4721</v>
      </c>
      <c r="L380" t="s">
        <v>60</v>
      </c>
      <c r="M380" t="s">
        <v>2730</v>
      </c>
      <c r="N380" t="s">
        <v>62</v>
      </c>
      <c r="O380" t="str">
        <f>"08619"</f>
        <v>08619</v>
      </c>
      <c r="P380" t="s">
        <v>4721</v>
      </c>
      <c r="S380" t="s">
        <v>2730</v>
      </c>
      <c r="T380" t="s">
        <v>62</v>
      </c>
      <c r="U380" t="str">
        <f>"08619"</f>
        <v>08619</v>
      </c>
      <c r="W380" t="s">
        <v>4722</v>
      </c>
      <c r="X380" t="s">
        <v>77</v>
      </c>
      <c r="Y380" t="s">
        <v>555</v>
      </c>
      <c r="Z380" t="s">
        <v>3323</v>
      </c>
      <c r="AA380" t="s">
        <v>112</v>
      </c>
      <c r="AB380" t="s">
        <v>54</v>
      </c>
      <c r="AC380" t="s">
        <v>218</v>
      </c>
      <c r="AD380" t="s">
        <v>1667</v>
      </c>
      <c r="AE380" t="s">
        <v>69</v>
      </c>
      <c r="AF380" t="s">
        <v>70</v>
      </c>
      <c r="AG380" t="s">
        <v>1209</v>
      </c>
      <c r="AH380" t="s">
        <v>2073</v>
      </c>
      <c r="AI380" t="s">
        <v>73</v>
      </c>
      <c r="AJ380" t="s">
        <v>54</v>
      </c>
      <c r="AK380" t="s">
        <v>218</v>
      </c>
      <c r="AL380" t="s">
        <v>1667</v>
      </c>
      <c r="AM380" t="s">
        <v>76</v>
      </c>
      <c r="AN380" t="s">
        <v>54</v>
      </c>
      <c r="AO380" t="s">
        <v>218</v>
      </c>
      <c r="AP380" t="s">
        <v>1667</v>
      </c>
      <c r="AQ380" t="s">
        <v>80</v>
      </c>
      <c r="AR380" t="s">
        <v>70</v>
      </c>
      <c r="AS380" t="s">
        <v>1209</v>
      </c>
      <c r="AT380" t="s">
        <v>2073</v>
      </c>
      <c r="AU380" t="s">
        <v>83</v>
      </c>
      <c r="AV380" t="s">
        <v>4723</v>
      </c>
      <c r="AW380" t="str">
        <f>"3400042"</f>
        <v>3400042</v>
      </c>
    </row>
    <row r="381" spans="1:49">
      <c r="A381" t="str">
        <f>"80"</f>
        <v>80</v>
      </c>
      <c r="B381" t="s">
        <v>4612</v>
      </c>
      <c r="C381" t="str">
        <f>"6025"</f>
        <v>6025</v>
      </c>
      <c r="D381" t="s">
        <v>4724</v>
      </c>
      <c r="E381" t="str">
        <f>"907"</f>
        <v>907</v>
      </c>
      <c r="F381" t="s">
        <v>70</v>
      </c>
      <c r="G381" t="s">
        <v>4725</v>
      </c>
      <c r="H381" t="s">
        <v>4726</v>
      </c>
      <c r="I381" t="s">
        <v>128</v>
      </c>
      <c r="J381" s="2" t="s">
        <v>4727</v>
      </c>
      <c r="K381" t="s">
        <v>4728</v>
      </c>
      <c r="L381" t="s">
        <v>60</v>
      </c>
      <c r="M381" t="s">
        <v>61</v>
      </c>
      <c r="N381" t="s">
        <v>62</v>
      </c>
      <c r="O381" t="s">
        <v>4729</v>
      </c>
      <c r="P381" t="s">
        <v>4728</v>
      </c>
      <c r="S381" t="s">
        <v>61</v>
      </c>
      <c r="T381" t="s">
        <v>62</v>
      </c>
      <c r="U381" t="str">
        <f>"08638"</f>
        <v>08638</v>
      </c>
      <c r="V381" t="str">
        <f>"3821"</f>
        <v>3821</v>
      </c>
      <c r="W381" t="s">
        <v>4730</v>
      </c>
      <c r="X381" t="s">
        <v>77</v>
      </c>
      <c r="Y381" t="s">
        <v>120</v>
      </c>
      <c r="Z381" t="s">
        <v>491</v>
      </c>
      <c r="AA381" t="s">
        <v>135</v>
      </c>
      <c r="AB381" t="s">
        <v>70</v>
      </c>
      <c r="AC381" t="s">
        <v>1734</v>
      </c>
      <c r="AD381" t="s">
        <v>4731</v>
      </c>
      <c r="AE381" t="s">
        <v>181</v>
      </c>
      <c r="AF381" t="s">
        <v>70</v>
      </c>
      <c r="AG381" t="s">
        <v>2505</v>
      </c>
      <c r="AH381" t="s">
        <v>1753</v>
      </c>
      <c r="AI381" t="s">
        <v>73</v>
      </c>
      <c r="AJ381" t="s">
        <v>70</v>
      </c>
      <c r="AK381" t="s">
        <v>838</v>
      </c>
      <c r="AL381" t="s">
        <v>151</v>
      </c>
      <c r="AM381" t="s">
        <v>76</v>
      </c>
      <c r="AR381" t="s">
        <v>70</v>
      </c>
      <c r="AS381" t="s">
        <v>449</v>
      </c>
      <c r="AT381" t="s">
        <v>4732</v>
      </c>
      <c r="AU381" t="s">
        <v>83</v>
      </c>
      <c r="AV381" t="s">
        <v>4733</v>
      </c>
      <c r="AW381" t="str">
        <f>"3400723"</f>
        <v>3400723</v>
      </c>
    </row>
    <row r="382" spans="1:49">
      <c r="A382" t="str">
        <f>"80"</f>
        <v>80</v>
      </c>
      <c r="B382" t="s">
        <v>4612</v>
      </c>
      <c r="C382" t="str">
        <f>"7540"</f>
        <v>7540</v>
      </c>
      <c r="D382" t="s">
        <v>4734</v>
      </c>
      <c r="E382" t="str">
        <f>"930"</f>
        <v>930</v>
      </c>
      <c r="F382" t="s">
        <v>77</v>
      </c>
      <c r="G382" t="s">
        <v>3254</v>
      </c>
      <c r="H382" t="s">
        <v>4735</v>
      </c>
      <c r="I382" t="s">
        <v>128</v>
      </c>
      <c r="J382" s="2" t="s">
        <v>4736</v>
      </c>
      <c r="K382" t="s">
        <v>4737</v>
      </c>
      <c r="L382" t="s">
        <v>60</v>
      </c>
      <c r="M382" t="s">
        <v>4738</v>
      </c>
      <c r="N382" t="s">
        <v>62</v>
      </c>
      <c r="O382" t="s">
        <v>4739</v>
      </c>
      <c r="P382" t="s">
        <v>4737</v>
      </c>
      <c r="S382" t="s">
        <v>4738</v>
      </c>
      <c r="T382" t="s">
        <v>62</v>
      </c>
      <c r="U382" t="str">
        <f>"08540"</f>
        <v>08540</v>
      </c>
      <c r="V382" t="str">
        <f>"2821"</f>
        <v>2821</v>
      </c>
      <c r="W382" t="s">
        <v>4740</v>
      </c>
      <c r="X382" t="s">
        <v>77</v>
      </c>
      <c r="Y382" t="s">
        <v>120</v>
      </c>
      <c r="Z382" t="s">
        <v>491</v>
      </c>
      <c r="AA382" t="s">
        <v>112</v>
      </c>
      <c r="AB382" t="s">
        <v>54</v>
      </c>
      <c r="AC382" t="s">
        <v>4741</v>
      </c>
      <c r="AD382" t="s">
        <v>4742</v>
      </c>
      <c r="AE382" t="s">
        <v>181</v>
      </c>
      <c r="AF382" t="s">
        <v>54</v>
      </c>
      <c r="AG382" t="s">
        <v>1437</v>
      </c>
      <c r="AH382" t="s">
        <v>4743</v>
      </c>
      <c r="AI382" t="s">
        <v>73</v>
      </c>
      <c r="AJ382" t="s">
        <v>77</v>
      </c>
      <c r="AK382" t="s">
        <v>3254</v>
      </c>
      <c r="AL382" t="s">
        <v>4735</v>
      </c>
      <c r="AM382" t="s">
        <v>76</v>
      </c>
      <c r="AN382" t="s">
        <v>77</v>
      </c>
      <c r="AO382" t="s">
        <v>1906</v>
      </c>
      <c r="AP382" t="s">
        <v>4744</v>
      </c>
      <c r="AQ382" t="s">
        <v>80</v>
      </c>
      <c r="AR382" t="s">
        <v>77</v>
      </c>
      <c r="AS382" t="s">
        <v>3254</v>
      </c>
      <c r="AT382" t="s">
        <v>4735</v>
      </c>
      <c r="AU382" t="s">
        <v>83</v>
      </c>
      <c r="AV382" t="s">
        <v>4745</v>
      </c>
      <c r="AW382" t="str">
        <f>"3400043"</f>
        <v>3400043</v>
      </c>
    </row>
    <row r="383" spans="1:49">
      <c r="A383" t="str">
        <f>"21"</f>
        <v>21</v>
      </c>
      <c r="B383" t="s">
        <v>4612</v>
      </c>
      <c r="C383" t="str">
        <f>"4255"</f>
        <v>4255</v>
      </c>
      <c r="D383" t="s">
        <v>4746</v>
      </c>
      <c r="F383" t="s">
        <v>77</v>
      </c>
      <c r="G383" t="s">
        <v>101</v>
      </c>
      <c r="H383" t="s">
        <v>1130</v>
      </c>
      <c r="I383" t="s">
        <v>89</v>
      </c>
      <c r="J383" s="2" t="s">
        <v>4747</v>
      </c>
      <c r="K383" t="s">
        <v>4748</v>
      </c>
      <c r="L383" t="s">
        <v>60</v>
      </c>
      <c r="M383" t="s">
        <v>4738</v>
      </c>
      <c r="N383" t="s">
        <v>62</v>
      </c>
      <c r="O383" t="str">
        <f>"08540"</f>
        <v>08540</v>
      </c>
      <c r="P383" t="s">
        <v>4748</v>
      </c>
      <c r="S383" t="s">
        <v>4738</v>
      </c>
      <c r="T383" t="s">
        <v>62</v>
      </c>
      <c r="U383" t="str">
        <f>"08540"</f>
        <v>08540</v>
      </c>
      <c r="W383" t="s">
        <v>4749</v>
      </c>
      <c r="X383" t="s">
        <v>77</v>
      </c>
      <c r="Y383" t="s">
        <v>206</v>
      </c>
      <c r="Z383" t="s">
        <v>4750</v>
      </c>
      <c r="AA383" t="s">
        <v>135</v>
      </c>
      <c r="AB383" t="s">
        <v>70</v>
      </c>
      <c r="AC383" t="s">
        <v>4751</v>
      </c>
      <c r="AD383" t="s">
        <v>4752</v>
      </c>
      <c r="AE383" t="s">
        <v>115</v>
      </c>
      <c r="AF383" t="s">
        <v>77</v>
      </c>
      <c r="AG383" t="s">
        <v>2352</v>
      </c>
      <c r="AH383" t="s">
        <v>4753</v>
      </c>
      <c r="AI383" t="s">
        <v>73</v>
      </c>
      <c r="AJ383" t="s">
        <v>54</v>
      </c>
      <c r="AK383" t="s">
        <v>4754</v>
      </c>
      <c r="AL383" t="s">
        <v>4755</v>
      </c>
      <c r="AM383" t="s">
        <v>76</v>
      </c>
      <c r="AN383" t="s">
        <v>77</v>
      </c>
      <c r="AO383" t="s">
        <v>74</v>
      </c>
      <c r="AP383" t="s">
        <v>4756</v>
      </c>
      <c r="AQ383" t="s">
        <v>80</v>
      </c>
      <c r="AR383" t="s">
        <v>77</v>
      </c>
      <c r="AS383" t="s">
        <v>120</v>
      </c>
      <c r="AT383" t="s">
        <v>167</v>
      </c>
      <c r="AU383" t="s">
        <v>83</v>
      </c>
      <c r="AV383" t="s">
        <v>4757</v>
      </c>
      <c r="AW383" t="str">
        <f>"3413410"</f>
        <v>3413410</v>
      </c>
    </row>
    <row r="384" spans="1:49">
      <c r="A384" t="str">
        <f>"21"</f>
        <v>21</v>
      </c>
      <c r="B384" t="s">
        <v>4612</v>
      </c>
      <c r="C384" t="str">
        <f>"5510"</f>
        <v>5510</v>
      </c>
      <c r="D384" t="s">
        <v>4758</v>
      </c>
      <c r="F384" t="s">
        <v>77</v>
      </c>
      <c r="G384" t="s">
        <v>212</v>
      </c>
      <c r="H384" t="s">
        <v>4759</v>
      </c>
      <c r="I384" t="s">
        <v>89</v>
      </c>
      <c r="J384" s="3" t="s">
        <v>8178</v>
      </c>
      <c r="K384" t="s">
        <v>4760</v>
      </c>
      <c r="L384" t="s">
        <v>60</v>
      </c>
      <c r="M384" t="s">
        <v>4761</v>
      </c>
      <c r="N384" t="s">
        <v>62</v>
      </c>
      <c r="O384" t="str">
        <f>"08691"</f>
        <v>08691</v>
      </c>
      <c r="P384" t="s">
        <v>4760</v>
      </c>
      <c r="S384" t="s">
        <v>4761</v>
      </c>
      <c r="T384" t="s">
        <v>62</v>
      </c>
      <c r="U384" t="str">
        <f>"08691"</f>
        <v>08691</v>
      </c>
      <c r="W384" t="s">
        <v>4762</v>
      </c>
      <c r="X384" t="s">
        <v>77</v>
      </c>
      <c r="Y384" t="s">
        <v>2771</v>
      </c>
      <c r="Z384" t="s">
        <v>4763</v>
      </c>
      <c r="AA384" t="s">
        <v>773</v>
      </c>
      <c r="AB384" t="s">
        <v>70</v>
      </c>
      <c r="AC384" t="s">
        <v>4764</v>
      </c>
      <c r="AD384" t="s">
        <v>4765</v>
      </c>
      <c r="AE384" t="s">
        <v>98</v>
      </c>
      <c r="AF384" t="s">
        <v>70</v>
      </c>
      <c r="AG384" t="s">
        <v>919</v>
      </c>
      <c r="AH384" t="s">
        <v>2546</v>
      </c>
      <c r="AI384" t="s">
        <v>73</v>
      </c>
      <c r="AJ384" t="s">
        <v>65</v>
      </c>
      <c r="AK384" t="s">
        <v>397</v>
      </c>
      <c r="AL384" t="s">
        <v>4766</v>
      </c>
      <c r="AM384" t="s">
        <v>76</v>
      </c>
      <c r="AN384" t="s">
        <v>70</v>
      </c>
      <c r="AO384" t="s">
        <v>297</v>
      </c>
      <c r="AP384" t="s">
        <v>4767</v>
      </c>
      <c r="AQ384" t="s">
        <v>80</v>
      </c>
      <c r="AR384" t="s">
        <v>70</v>
      </c>
      <c r="AS384" t="s">
        <v>4768</v>
      </c>
      <c r="AT384" t="s">
        <v>4769</v>
      </c>
      <c r="AU384" t="s">
        <v>83</v>
      </c>
      <c r="AV384" t="s">
        <v>4770</v>
      </c>
      <c r="AW384" t="str">
        <f>"3417100"</f>
        <v>3417100</v>
      </c>
    </row>
    <row r="385" spans="1:49">
      <c r="A385" t="str">
        <f>"80"</f>
        <v>80</v>
      </c>
      <c r="B385" t="s">
        <v>4612</v>
      </c>
      <c r="C385" t="str">
        <f>"8140"</f>
        <v>8140</v>
      </c>
      <c r="D385" t="s">
        <v>4771</v>
      </c>
      <c r="E385" t="str">
        <f>"990"</f>
        <v>990</v>
      </c>
      <c r="F385" t="s">
        <v>54</v>
      </c>
      <c r="G385" t="s">
        <v>4772</v>
      </c>
      <c r="H385" t="s">
        <v>855</v>
      </c>
      <c r="I385" t="s">
        <v>128</v>
      </c>
      <c r="J385" s="2" t="s">
        <v>4773</v>
      </c>
      <c r="K385" t="s">
        <v>4774</v>
      </c>
      <c r="L385" t="s">
        <v>60</v>
      </c>
      <c r="M385" t="s">
        <v>61</v>
      </c>
      <c r="N385" t="s">
        <v>62</v>
      </c>
      <c r="O385" t="str">
        <f>"08628"</f>
        <v>08628</v>
      </c>
      <c r="P385" t="s">
        <v>4774</v>
      </c>
      <c r="S385" t="s">
        <v>61</v>
      </c>
      <c r="T385" t="s">
        <v>62</v>
      </c>
      <c r="U385" t="str">
        <f>"08628"</f>
        <v>08628</v>
      </c>
      <c r="W385" t="s">
        <v>4775</v>
      </c>
      <c r="X385" t="s">
        <v>77</v>
      </c>
      <c r="Y385" t="s">
        <v>555</v>
      </c>
      <c r="Z385" t="s">
        <v>3323</v>
      </c>
      <c r="AA385" t="s">
        <v>112</v>
      </c>
      <c r="AB385" t="s">
        <v>70</v>
      </c>
      <c r="AC385" t="s">
        <v>1085</v>
      </c>
      <c r="AD385" t="s">
        <v>4776</v>
      </c>
      <c r="AE385" t="s">
        <v>98</v>
      </c>
      <c r="AF385" t="s">
        <v>70</v>
      </c>
      <c r="AG385" t="s">
        <v>4777</v>
      </c>
      <c r="AH385" t="s">
        <v>857</v>
      </c>
      <c r="AI385" t="s">
        <v>73</v>
      </c>
      <c r="AJ385" t="s">
        <v>54</v>
      </c>
      <c r="AK385" t="s">
        <v>277</v>
      </c>
      <c r="AL385" t="s">
        <v>4778</v>
      </c>
      <c r="AM385" t="s">
        <v>76</v>
      </c>
      <c r="AN385" t="s">
        <v>77</v>
      </c>
      <c r="AO385" t="s">
        <v>3862</v>
      </c>
      <c r="AP385" t="s">
        <v>3467</v>
      </c>
      <c r="AQ385" t="s">
        <v>80</v>
      </c>
      <c r="AR385" t="s">
        <v>77</v>
      </c>
      <c r="AS385" t="s">
        <v>555</v>
      </c>
      <c r="AT385" t="s">
        <v>3323</v>
      </c>
      <c r="AU385" t="s">
        <v>83</v>
      </c>
      <c r="AV385" t="s">
        <v>4779</v>
      </c>
      <c r="AW385" t="str">
        <f>"3400046"</f>
        <v>3400046</v>
      </c>
    </row>
    <row r="386" spans="1:49">
      <c r="A386" t="str">
        <f>"21"</f>
        <v>21</v>
      </c>
      <c r="B386" t="s">
        <v>4612</v>
      </c>
      <c r="C386" t="str">
        <f>"5210"</f>
        <v>5210</v>
      </c>
      <c r="D386" t="s">
        <v>4780</v>
      </c>
      <c r="F386" t="s">
        <v>77</v>
      </c>
      <c r="G386" t="s">
        <v>4781</v>
      </c>
      <c r="H386" t="s">
        <v>4782</v>
      </c>
      <c r="I386" t="s">
        <v>57</v>
      </c>
      <c r="J386" s="2" t="s">
        <v>4783</v>
      </c>
      <c r="K386" t="s">
        <v>4784</v>
      </c>
      <c r="L386" t="s">
        <v>60</v>
      </c>
      <c r="M386" t="s">
        <v>61</v>
      </c>
      <c r="N386" t="s">
        <v>62</v>
      </c>
      <c r="O386" t="str">
        <f>"08609"</f>
        <v>08609</v>
      </c>
      <c r="P386" t="s">
        <v>4784</v>
      </c>
      <c r="S386" t="s">
        <v>61</v>
      </c>
      <c r="T386" t="s">
        <v>62</v>
      </c>
      <c r="U386" t="str">
        <f>"08609"</f>
        <v>08609</v>
      </c>
      <c r="W386" t="s">
        <v>4785</v>
      </c>
      <c r="X386" t="s">
        <v>54</v>
      </c>
      <c r="Y386" t="s">
        <v>4786</v>
      </c>
      <c r="Z386" t="s">
        <v>593</v>
      </c>
      <c r="AA386" t="s">
        <v>135</v>
      </c>
      <c r="AB386" t="s">
        <v>54</v>
      </c>
      <c r="AC386" t="s">
        <v>4787</v>
      </c>
      <c r="AD386" t="s">
        <v>398</v>
      </c>
      <c r="AE386" t="s">
        <v>181</v>
      </c>
      <c r="AF386" t="s">
        <v>77</v>
      </c>
      <c r="AG386" t="s">
        <v>4788</v>
      </c>
      <c r="AH386" t="s">
        <v>4789</v>
      </c>
      <c r="AI386" t="s">
        <v>73</v>
      </c>
      <c r="AJ386" t="s">
        <v>77</v>
      </c>
      <c r="AK386" t="s">
        <v>178</v>
      </c>
      <c r="AL386" t="s">
        <v>4790</v>
      </c>
      <c r="AM386" t="s">
        <v>76</v>
      </c>
      <c r="AN386" t="s">
        <v>77</v>
      </c>
      <c r="AO386" t="s">
        <v>178</v>
      </c>
      <c r="AP386" t="s">
        <v>4790</v>
      </c>
      <c r="AQ386" t="s">
        <v>80</v>
      </c>
      <c r="AR386" t="s">
        <v>77</v>
      </c>
      <c r="AS386" t="s">
        <v>4791</v>
      </c>
      <c r="AT386" t="s">
        <v>1373</v>
      </c>
      <c r="AU386" t="s">
        <v>83</v>
      </c>
      <c r="AV386" t="s">
        <v>4792</v>
      </c>
      <c r="AW386" t="str">
        <f>"3416290"</f>
        <v>3416290</v>
      </c>
    </row>
    <row r="387" spans="1:49">
      <c r="A387" t="str">
        <f>"80"</f>
        <v>80</v>
      </c>
      <c r="B387" t="s">
        <v>4612</v>
      </c>
      <c r="C387" t="str">
        <f>"6183"</f>
        <v>6183</v>
      </c>
      <c r="D387" t="s">
        <v>4793</v>
      </c>
      <c r="E387" t="str">
        <f>"914"</f>
        <v>914</v>
      </c>
      <c r="F387" t="s">
        <v>65</v>
      </c>
      <c r="G387" t="s">
        <v>4794</v>
      </c>
      <c r="H387" t="s">
        <v>4795</v>
      </c>
      <c r="I387" t="s">
        <v>57</v>
      </c>
      <c r="J387" s="2" t="s">
        <v>4796</v>
      </c>
      <c r="K387" t="s">
        <v>4797</v>
      </c>
      <c r="L387" t="s">
        <v>60</v>
      </c>
      <c r="M387" t="s">
        <v>4646</v>
      </c>
      <c r="N387" t="s">
        <v>62</v>
      </c>
      <c r="O387" t="str">
        <f>"08618"</f>
        <v>08618</v>
      </c>
      <c r="P387" t="s">
        <v>4797</v>
      </c>
      <c r="S387" t="s">
        <v>4646</v>
      </c>
      <c r="T387" t="s">
        <v>62</v>
      </c>
      <c r="U387" t="str">
        <f>"08618"</f>
        <v>08618</v>
      </c>
      <c r="W387" t="s">
        <v>4798</v>
      </c>
      <c r="Y387" t="s">
        <v>328</v>
      </c>
      <c r="Z387" t="s">
        <v>4799</v>
      </c>
      <c r="AA387" t="s">
        <v>112</v>
      </c>
      <c r="AC387" t="s">
        <v>926</v>
      </c>
      <c r="AD387" t="s">
        <v>4800</v>
      </c>
      <c r="AE387" t="s">
        <v>181</v>
      </c>
      <c r="AG387" t="s">
        <v>926</v>
      </c>
      <c r="AH387" t="s">
        <v>4800</v>
      </c>
      <c r="AI387" t="s">
        <v>73</v>
      </c>
      <c r="AK387" t="s">
        <v>728</v>
      </c>
      <c r="AL387" t="s">
        <v>1676</v>
      </c>
      <c r="AM387" t="s">
        <v>76</v>
      </c>
      <c r="AO387" t="s">
        <v>677</v>
      </c>
      <c r="AP387" t="s">
        <v>3467</v>
      </c>
      <c r="AQ387" t="s">
        <v>80</v>
      </c>
      <c r="AS387" t="s">
        <v>4801</v>
      </c>
      <c r="AT387" t="s">
        <v>4802</v>
      </c>
      <c r="AU387" t="s">
        <v>83</v>
      </c>
      <c r="AV387" t="s">
        <v>4803</v>
      </c>
      <c r="AW387" t="str">
        <f>"3400770"</f>
        <v>3400770</v>
      </c>
    </row>
    <row r="388" spans="1:49">
      <c r="A388" t="str">
        <f>"21"</f>
        <v>21</v>
      </c>
      <c r="B388" t="s">
        <v>4612</v>
      </c>
      <c r="C388" t="str">
        <f>"5715"</f>
        <v>5715</v>
      </c>
      <c r="D388" t="s">
        <v>4804</v>
      </c>
      <c r="G388" t="s">
        <v>190</v>
      </c>
      <c r="H388" t="s">
        <v>4805</v>
      </c>
      <c r="I388" t="s">
        <v>89</v>
      </c>
      <c r="J388" s="2" t="s">
        <v>4806</v>
      </c>
      <c r="K388" t="s">
        <v>4807</v>
      </c>
      <c r="L388" t="s">
        <v>60</v>
      </c>
      <c r="M388" t="s">
        <v>4808</v>
      </c>
      <c r="N388" t="s">
        <v>62</v>
      </c>
      <c r="O388" t="str">
        <f>"08550"</f>
        <v>08550</v>
      </c>
      <c r="P388" t="s">
        <v>4807</v>
      </c>
      <c r="S388" t="s">
        <v>4808</v>
      </c>
      <c r="T388" t="s">
        <v>62</v>
      </c>
      <c r="U388" t="str">
        <f>"08550"</f>
        <v>08550</v>
      </c>
      <c r="W388" t="s">
        <v>4809</v>
      </c>
      <c r="Y388" t="s">
        <v>287</v>
      </c>
      <c r="Z388" t="s">
        <v>679</v>
      </c>
      <c r="AA388" t="s">
        <v>112</v>
      </c>
      <c r="AC388" t="s">
        <v>429</v>
      </c>
      <c r="AD388" t="s">
        <v>4810</v>
      </c>
      <c r="AE388" t="s">
        <v>69</v>
      </c>
      <c r="AG388" t="s">
        <v>222</v>
      </c>
      <c r="AH388" t="s">
        <v>4811</v>
      </c>
      <c r="AI388" t="s">
        <v>73</v>
      </c>
      <c r="AK388" t="s">
        <v>306</v>
      </c>
      <c r="AL388" t="s">
        <v>4812</v>
      </c>
      <c r="AM388" t="s">
        <v>76</v>
      </c>
      <c r="AO388" t="s">
        <v>4522</v>
      </c>
      <c r="AP388" t="s">
        <v>4813</v>
      </c>
      <c r="AQ388" t="s">
        <v>80</v>
      </c>
      <c r="AS388" t="s">
        <v>287</v>
      </c>
      <c r="AT388" t="s">
        <v>679</v>
      </c>
      <c r="AU388" t="s">
        <v>83</v>
      </c>
      <c r="AV388" t="s">
        <v>4814</v>
      </c>
      <c r="AW388" t="str">
        <f>"3417700"</f>
        <v>3417700</v>
      </c>
    </row>
    <row r="389" spans="1:49">
      <c r="A389" t="str">
        <f>"80"</f>
        <v>80</v>
      </c>
      <c r="B389" t="s">
        <v>4815</v>
      </c>
      <c r="C389" t="str">
        <f>"6032"</f>
        <v>6032</v>
      </c>
      <c r="D389" t="s">
        <v>4816</v>
      </c>
      <c r="E389" t="str">
        <f>"901"</f>
        <v>901</v>
      </c>
      <c r="F389" t="s">
        <v>54</v>
      </c>
      <c r="G389" t="s">
        <v>1298</v>
      </c>
      <c r="H389" t="s">
        <v>4817</v>
      </c>
      <c r="I389" t="s">
        <v>57</v>
      </c>
      <c r="J389" s="2" t="s">
        <v>4818</v>
      </c>
      <c r="K389" t="s">
        <v>4819</v>
      </c>
      <c r="L389" t="s">
        <v>60</v>
      </c>
      <c r="M389" t="s">
        <v>4820</v>
      </c>
      <c r="N389" t="s">
        <v>62</v>
      </c>
      <c r="O389" t="str">
        <f>"08861"</f>
        <v>08861</v>
      </c>
      <c r="P389" t="s">
        <v>4819</v>
      </c>
      <c r="S389" t="s">
        <v>4820</v>
      </c>
      <c r="T389" t="s">
        <v>62</v>
      </c>
      <c r="U389" t="str">
        <f>"08861"</f>
        <v>08861</v>
      </c>
      <c r="W389" t="s">
        <v>4821</v>
      </c>
      <c r="Y389" t="s">
        <v>4741</v>
      </c>
      <c r="Z389" t="s">
        <v>209</v>
      </c>
      <c r="AA389" t="s">
        <v>135</v>
      </c>
      <c r="AC389" t="s">
        <v>3383</v>
      </c>
      <c r="AD389" t="s">
        <v>1012</v>
      </c>
      <c r="AE389" t="s">
        <v>181</v>
      </c>
      <c r="AG389" t="s">
        <v>3383</v>
      </c>
      <c r="AH389" t="s">
        <v>1012</v>
      </c>
      <c r="AI389" t="s">
        <v>73</v>
      </c>
      <c r="AK389" t="s">
        <v>4822</v>
      </c>
      <c r="AL389" t="s">
        <v>4823</v>
      </c>
      <c r="AM389" t="s">
        <v>76</v>
      </c>
      <c r="AO389" t="s">
        <v>267</v>
      </c>
      <c r="AP389" t="s">
        <v>510</v>
      </c>
      <c r="AQ389" t="s">
        <v>80</v>
      </c>
      <c r="AS389" t="s">
        <v>4824</v>
      </c>
      <c r="AT389" t="s">
        <v>4825</v>
      </c>
      <c r="AU389" t="s">
        <v>83</v>
      </c>
      <c r="AV389" t="s">
        <v>4826</v>
      </c>
      <c r="AW389" t="str">
        <f>"3400741"</f>
        <v>3400741</v>
      </c>
    </row>
    <row r="390" spans="1:49">
      <c r="A390" t="str">
        <f t="shared" ref="A390:A395" si="15">"23"</f>
        <v>23</v>
      </c>
      <c r="B390" t="s">
        <v>4815</v>
      </c>
      <c r="C390" t="str">
        <f>"0750"</f>
        <v>0750</v>
      </c>
      <c r="D390" t="s">
        <v>4827</v>
      </c>
      <c r="F390" t="s">
        <v>54</v>
      </c>
      <c r="G390" t="s">
        <v>1100</v>
      </c>
      <c r="H390" t="s">
        <v>1156</v>
      </c>
      <c r="I390" t="s">
        <v>89</v>
      </c>
      <c r="J390" s="2" t="s">
        <v>4828</v>
      </c>
      <c r="K390" t="s">
        <v>4829</v>
      </c>
      <c r="L390" t="s">
        <v>60</v>
      </c>
      <c r="M390" t="s">
        <v>4830</v>
      </c>
      <c r="N390" t="s">
        <v>62</v>
      </c>
      <c r="O390" t="s">
        <v>4831</v>
      </c>
      <c r="P390" t="s">
        <v>4829</v>
      </c>
      <c r="S390" t="s">
        <v>4830</v>
      </c>
      <c r="T390" t="s">
        <v>62</v>
      </c>
      <c r="U390" t="str">
        <f>"07008"</f>
        <v>07008</v>
      </c>
      <c r="V390" t="str">
        <f>"2912"</f>
        <v>2912</v>
      </c>
      <c r="W390" t="s">
        <v>4832</v>
      </c>
      <c r="X390" t="s">
        <v>77</v>
      </c>
      <c r="Y390" t="s">
        <v>4173</v>
      </c>
      <c r="Z390" t="s">
        <v>4833</v>
      </c>
      <c r="AA390" t="s">
        <v>135</v>
      </c>
      <c r="AB390" t="s">
        <v>70</v>
      </c>
      <c r="AC390" t="s">
        <v>541</v>
      </c>
      <c r="AD390" t="s">
        <v>4834</v>
      </c>
      <c r="AE390" t="s">
        <v>98</v>
      </c>
      <c r="AF390" t="s">
        <v>70</v>
      </c>
      <c r="AG390" t="s">
        <v>4835</v>
      </c>
      <c r="AH390" t="s">
        <v>4836</v>
      </c>
      <c r="AI390" t="s">
        <v>73</v>
      </c>
      <c r="AJ390" t="s">
        <v>77</v>
      </c>
      <c r="AK390" t="s">
        <v>4239</v>
      </c>
      <c r="AL390" t="s">
        <v>4837</v>
      </c>
      <c r="AM390" t="s">
        <v>76</v>
      </c>
      <c r="AN390" t="s">
        <v>77</v>
      </c>
      <c r="AO390" t="s">
        <v>4838</v>
      </c>
      <c r="AP390" t="s">
        <v>4839</v>
      </c>
      <c r="AQ390" t="s">
        <v>80</v>
      </c>
      <c r="AR390" t="s">
        <v>77</v>
      </c>
      <c r="AS390" t="s">
        <v>570</v>
      </c>
      <c r="AT390" t="s">
        <v>4840</v>
      </c>
      <c r="AU390" t="s">
        <v>83</v>
      </c>
      <c r="AV390" t="s">
        <v>4841</v>
      </c>
      <c r="AW390" t="str">
        <f>"3402820"</f>
        <v>3402820</v>
      </c>
    </row>
    <row r="391" spans="1:49">
      <c r="A391" t="str">
        <f t="shared" si="15"/>
        <v>23</v>
      </c>
      <c r="B391" t="s">
        <v>4815</v>
      </c>
      <c r="C391" t="str">
        <f>"0970"</f>
        <v>0970</v>
      </c>
      <c r="D391" t="s">
        <v>4842</v>
      </c>
      <c r="F391" t="s">
        <v>65</v>
      </c>
      <c r="G391" t="s">
        <v>541</v>
      </c>
      <c r="H391" t="s">
        <v>4843</v>
      </c>
      <c r="I391" t="s">
        <v>57</v>
      </c>
      <c r="J391" s="2" t="s">
        <v>4844</v>
      </c>
      <c r="K391" t="s">
        <v>4845</v>
      </c>
      <c r="L391" t="s">
        <v>60</v>
      </c>
      <c r="M391" t="s">
        <v>4846</v>
      </c>
      <c r="N391" t="s">
        <v>62</v>
      </c>
      <c r="O391" t="s">
        <v>4847</v>
      </c>
      <c r="P391" t="s">
        <v>4845</v>
      </c>
      <c r="S391" t="s">
        <v>4846</v>
      </c>
      <c r="T391" t="s">
        <v>62</v>
      </c>
      <c r="U391" t="str">
        <f>"08512"</f>
        <v>08512</v>
      </c>
      <c r="V391" t="str">
        <f>"3257"</f>
        <v>3257</v>
      </c>
      <c r="W391" t="s">
        <v>4848</v>
      </c>
      <c r="X391" t="s">
        <v>77</v>
      </c>
      <c r="Y391" t="s">
        <v>120</v>
      </c>
      <c r="Z391" t="s">
        <v>491</v>
      </c>
      <c r="AA391" t="s">
        <v>135</v>
      </c>
      <c r="AB391" t="s">
        <v>65</v>
      </c>
      <c r="AC391" t="s">
        <v>1510</v>
      </c>
      <c r="AD391" t="s">
        <v>4849</v>
      </c>
      <c r="AE391" t="s">
        <v>913</v>
      </c>
      <c r="AF391" t="s">
        <v>54</v>
      </c>
      <c r="AG391" t="s">
        <v>291</v>
      </c>
      <c r="AH391" t="s">
        <v>4850</v>
      </c>
      <c r="AI391" t="s">
        <v>73</v>
      </c>
      <c r="AJ391" t="s">
        <v>54</v>
      </c>
      <c r="AK391" t="s">
        <v>291</v>
      </c>
      <c r="AL391" t="s">
        <v>4850</v>
      </c>
      <c r="AM391" t="s">
        <v>76</v>
      </c>
      <c r="AN391" t="s">
        <v>77</v>
      </c>
      <c r="AO391" t="s">
        <v>1906</v>
      </c>
      <c r="AP391" t="s">
        <v>4851</v>
      </c>
      <c r="AQ391" t="s">
        <v>80</v>
      </c>
      <c r="AR391" t="s">
        <v>65</v>
      </c>
      <c r="AS391" t="s">
        <v>541</v>
      </c>
      <c r="AT391" t="s">
        <v>4843</v>
      </c>
      <c r="AU391" t="s">
        <v>83</v>
      </c>
      <c r="AV391" t="s">
        <v>4852</v>
      </c>
      <c r="AW391" t="str">
        <f>"3403540"</f>
        <v>3403540</v>
      </c>
    </row>
    <row r="392" spans="1:49">
      <c r="A392" t="str">
        <f t="shared" si="15"/>
        <v>23</v>
      </c>
      <c r="B392" t="s">
        <v>4815</v>
      </c>
      <c r="C392" t="str">
        <f>"1140"</f>
        <v>1140</v>
      </c>
      <c r="D392" t="s">
        <v>4853</v>
      </c>
      <c r="F392" t="s">
        <v>77</v>
      </c>
      <c r="G392" t="s">
        <v>4854</v>
      </c>
      <c r="H392" t="s">
        <v>4855</v>
      </c>
      <c r="I392" t="s">
        <v>89</v>
      </c>
      <c r="J392" s="2" t="s">
        <v>4856</v>
      </c>
      <c r="K392" t="s">
        <v>4857</v>
      </c>
      <c r="L392" t="s">
        <v>60</v>
      </c>
      <c r="M392" t="s">
        <v>4858</v>
      </c>
      <c r="N392" t="s">
        <v>62</v>
      </c>
      <c r="O392" t="s">
        <v>4859</v>
      </c>
      <c r="P392" t="s">
        <v>4857</v>
      </c>
      <c r="S392" t="s">
        <v>4858</v>
      </c>
      <c r="T392" t="s">
        <v>62</v>
      </c>
      <c r="U392" t="str">
        <f>"08812"</f>
        <v>08812</v>
      </c>
      <c r="V392" t="str">
        <f>"1520"</f>
        <v>1520</v>
      </c>
      <c r="W392" t="s">
        <v>4860</v>
      </c>
      <c r="X392" t="s">
        <v>77</v>
      </c>
      <c r="Y392" t="s">
        <v>4861</v>
      </c>
      <c r="Z392" t="s">
        <v>1100</v>
      </c>
      <c r="AA392" t="s">
        <v>135</v>
      </c>
      <c r="AB392" t="s">
        <v>70</v>
      </c>
      <c r="AC392" t="s">
        <v>289</v>
      </c>
      <c r="AD392" t="s">
        <v>4862</v>
      </c>
      <c r="AE392" t="s">
        <v>115</v>
      </c>
      <c r="AF392" t="s">
        <v>54</v>
      </c>
      <c r="AG392" t="s">
        <v>807</v>
      </c>
      <c r="AH392" t="s">
        <v>4863</v>
      </c>
      <c r="AI392" t="s">
        <v>73</v>
      </c>
      <c r="AJ392" t="s">
        <v>54</v>
      </c>
      <c r="AK392" t="s">
        <v>807</v>
      </c>
      <c r="AL392" t="s">
        <v>4863</v>
      </c>
      <c r="AM392" t="s">
        <v>76</v>
      </c>
      <c r="AN392" t="s">
        <v>77</v>
      </c>
      <c r="AO392" t="s">
        <v>190</v>
      </c>
      <c r="AP392" t="s">
        <v>4864</v>
      </c>
      <c r="AQ392" t="s">
        <v>80</v>
      </c>
      <c r="AR392" t="s">
        <v>77</v>
      </c>
      <c r="AS392" t="s">
        <v>4865</v>
      </c>
      <c r="AT392" t="s">
        <v>4866</v>
      </c>
      <c r="AU392" t="s">
        <v>83</v>
      </c>
      <c r="AV392" t="s">
        <v>4867</v>
      </c>
      <c r="AW392" t="str">
        <f>"3404020"</f>
        <v>3404020</v>
      </c>
    </row>
    <row r="393" spans="1:49">
      <c r="A393" t="str">
        <f t="shared" si="15"/>
        <v>23</v>
      </c>
      <c r="B393" t="s">
        <v>4815</v>
      </c>
      <c r="C393" t="str">
        <f>"1170"</f>
        <v>1170</v>
      </c>
      <c r="D393" t="s">
        <v>4868</v>
      </c>
      <c r="F393" t="s">
        <v>65</v>
      </c>
      <c r="G393" t="s">
        <v>1228</v>
      </c>
      <c r="H393" t="s">
        <v>4869</v>
      </c>
      <c r="I393" t="s">
        <v>89</v>
      </c>
      <c r="J393" s="2" t="s">
        <v>4870</v>
      </c>
      <c r="K393" t="s">
        <v>4871</v>
      </c>
      <c r="L393" t="s">
        <v>60</v>
      </c>
      <c r="M393" t="s">
        <v>4872</v>
      </c>
      <c r="N393" t="s">
        <v>62</v>
      </c>
      <c r="O393" t="str">
        <f>"08816"</f>
        <v>08816</v>
      </c>
      <c r="P393" t="s">
        <v>4871</v>
      </c>
      <c r="S393" t="s">
        <v>4872</v>
      </c>
      <c r="T393" t="s">
        <v>62</v>
      </c>
      <c r="U393" t="str">
        <f>"08816"</f>
        <v>08816</v>
      </c>
      <c r="W393" t="s">
        <v>4873</v>
      </c>
      <c r="Y393" t="s">
        <v>1312</v>
      </c>
      <c r="Z393" t="s">
        <v>4874</v>
      </c>
      <c r="AA393" t="s">
        <v>112</v>
      </c>
      <c r="AC393" t="s">
        <v>649</v>
      </c>
      <c r="AD393" t="s">
        <v>1667</v>
      </c>
      <c r="AE393" t="s">
        <v>98</v>
      </c>
      <c r="AG393" t="s">
        <v>677</v>
      </c>
      <c r="AH393" t="s">
        <v>4172</v>
      </c>
      <c r="AI393" t="s">
        <v>73</v>
      </c>
      <c r="AJ393" t="s">
        <v>65</v>
      </c>
      <c r="AK393" t="s">
        <v>4875</v>
      </c>
      <c r="AL393" t="s">
        <v>4876</v>
      </c>
      <c r="AM393" t="s">
        <v>76</v>
      </c>
      <c r="AO393" t="s">
        <v>663</v>
      </c>
      <c r="AP393" t="s">
        <v>4877</v>
      </c>
      <c r="AQ393" t="s">
        <v>80</v>
      </c>
      <c r="AS393" t="s">
        <v>677</v>
      </c>
      <c r="AT393" t="s">
        <v>4172</v>
      </c>
      <c r="AU393" t="s">
        <v>83</v>
      </c>
      <c r="AV393" t="s">
        <v>4878</v>
      </c>
      <c r="AW393" t="str">
        <f>"3404110"</f>
        <v>3404110</v>
      </c>
    </row>
    <row r="394" spans="1:49">
      <c r="A394" t="str">
        <f t="shared" si="15"/>
        <v>23</v>
      </c>
      <c r="B394" t="s">
        <v>4815</v>
      </c>
      <c r="C394" t="str">
        <f>"1290"</f>
        <v>1290</v>
      </c>
      <c r="D394" t="s">
        <v>4879</v>
      </c>
      <c r="F394" t="s">
        <v>65</v>
      </c>
      <c r="G394" t="s">
        <v>4880</v>
      </c>
      <c r="H394" t="s">
        <v>4881</v>
      </c>
      <c r="I394" t="s">
        <v>89</v>
      </c>
      <c r="J394" s="2" t="s">
        <v>4882</v>
      </c>
      <c r="K394" t="s">
        <v>4883</v>
      </c>
      <c r="L394" t="s">
        <v>60</v>
      </c>
      <c r="M394" t="s">
        <v>4884</v>
      </c>
      <c r="N394" t="s">
        <v>62</v>
      </c>
      <c r="O394" t="str">
        <f>"08837"</f>
        <v>08837</v>
      </c>
      <c r="P394" t="s">
        <v>4883</v>
      </c>
      <c r="S394" t="s">
        <v>4884</v>
      </c>
      <c r="T394" t="s">
        <v>62</v>
      </c>
      <c r="U394" t="str">
        <f>"08837"</f>
        <v>08837</v>
      </c>
      <c r="W394" t="s">
        <v>4885</v>
      </c>
      <c r="X394" t="s">
        <v>65</v>
      </c>
      <c r="Y394" t="s">
        <v>4880</v>
      </c>
      <c r="Z394" t="s">
        <v>4881</v>
      </c>
      <c r="AA394" t="s">
        <v>616</v>
      </c>
      <c r="AB394" t="s">
        <v>65</v>
      </c>
      <c r="AC394" t="s">
        <v>287</v>
      </c>
      <c r="AD394" t="s">
        <v>1619</v>
      </c>
      <c r="AE394" t="s">
        <v>154</v>
      </c>
      <c r="AF394" t="s">
        <v>77</v>
      </c>
      <c r="AG394" t="s">
        <v>293</v>
      </c>
      <c r="AH394" t="s">
        <v>4886</v>
      </c>
      <c r="AI394" t="s">
        <v>73</v>
      </c>
      <c r="AK394" t="s">
        <v>536</v>
      </c>
      <c r="AL394" t="s">
        <v>744</v>
      </c>
      <c r="AM394" t="s">
        <v>76</v>
      </c>
      <c r="AN394" t="s">
        <v>77</v>
      </c>
      <c r="AO394" t="s">
        <v>4887</v>
      </c>
      <c r="AP394" t="s">
        <v>4888</v>
      </c>
      <c r="AQ394" t="s">
        <v>80</v>
      </c>
      <c r="AR394" t="s">
        <v>77</v>
      </c>
      <c r="AS394" t="s">
        <v>293</v>
      </c>
      <c r="AT394" t="s">
        <v>4886</v>
      </c>
      <c r="AU394" t="s">
        <v>83</v>
      </c>
      <c r="AV394" t="s">
        <v>4889</v>
      </c>
      <c r="AW394" t="str">
        <f>"3404500"</f>
        <v>3404500</v>
      </c>
    </row>
    <row r="395" spans="1:49">
      <c r="A395" t="str">
        <f t="shared" si="15"/>
        <v>23</v>
      </c>
      <c r="B395" t="s">
        <v>4815</v>
      </c>
      <c r="C395" t="str">
        <f>"3145"</f>
        <v>3145</v>
      </c>
      <c r="D395" t="s">
        <v>4890</v>
      </c>
      <c r="F395" t="s">
        <v>77</v>
      </c>
      <c r="G395" t="s">
        <v>404</v>
      </c>
      <c r="H395" t="s">
        <v>4891</v>
      </c>
      <c r="I395" t="s">
        <v>89</v>
      </c>
      <c r="J395" s="2" t="s">
        <v>4892</v>
      </c>
      <c r="K395" t="s">
        <v>4893</v>
      </c>
      <c r="L395" t="s">
        <v>60</v>
      </c>
      <c r="M395" t="s">
        <v>4894</v>
      </c>
      <c r="N395" t="s">
        <v>62</v>
      </c>
      <c r="O395" t="s">
        <v>4895</v>
      </c>
      <c r="P395" t="s">
        <v>4893</v>
      </c>
      <c r="S395" t="s">
        <v>4894</v>
      </c>
      <c r="T395" t="s">
        <v>62</v>
      </c>
      <c r="U395" t="str">
        <f>"08854"</f>
        <v>08854</v>
      </c>
      <c r="V395" t="str">
        <f>"5917"</f>
        <v>5917</v>
      </c>
      <c r="W395" t="s">
        <v>4896</v>
      </c>
      <c r="X395" t="s">
        <v>77</v>
      </c>
      <c r="Y395" t="s">
        <v>293</v>
      </c>
      <c r="Z395" t="s">
        <v>535</v>
      </c>
      <c r="AA395" t="s">
        <v>135</v>
      </c>
      <c r="AB395" t="s">
        <v>77</v>
      </c>
      <c r="AC395" t="s">
        <v>404</v>
      </c>
      <c r="AD395" t="s">
        <v>4891</v>
      </c>
      <c r="AE395" t="s">
        <v>181</v>
      </c>
      <c r="AF395" t="s">
        <v>77</v>
      </c>
      <c r="AG395" t="s">
        <v>310</v>
      </c>
      <c r="AH395" t="s">
        <v>4897</v>
      </c>
      <c r="AI395" t="s">
        <v>73</v>
      </c>
      <c r="AJ395" t="s">
        <v>77</v>
      </c>
      <c r="AK395" t="s">
        <v>4898</v>
      </c>
      <c r="AL395" t="s">
        <v>2040</v>
      </c>
      <c r="AM395" t="s">
        <v>76</v>
      </c>
      <c r="AN395" t="s">
        <v>77</v>
      </c>
      <c r="AO395" t="s">
        <v>873</v>
      </c>
      <c r="AP395" t="s">
        <v>4899</v>
      </c>
      <c r="AQ395" t="s">
        <v>80</v>
      </c>
      <c r="AR395" t="s">
        <v>70</v>
      </c>
      <c r="AS395" t="s">
        <v>4900</v>
      </c>
      <c r="AT395" t="s">
        <v>2523</v>
      </c>
      <c r="AU395" t="s">
        <v>83</v>
      </c>
      <c r="AV395" t="s">
        <v>4901</v>
      </c>
      <c r="AW395" t="str">
        <f>"3480180"</f>
        <v>3480180</v>
      </c>
    </row>
    <row r="396" spans="1:49">
      <c r="A396" t="str">
        <f>"80"</f>
        <v>80</v>
      </c>
      <c r="B396" t="s">
        <v>4815</v>
      </c>
      <c r="C396" t="str">
        <f>"6635"</f>
        <v>6635</v>
      </c>
      <c r="D396" t="s">
        <v>4902</v>
      </c>
      <c r="E396" t="str">
        <f>"930"</f>
        <v>930</v>
      </c>
      <c r="F396" t="s">
        <v>70</v>
      </c>
      <c r="G396" t="s">
        <v>1444</v>
      </c>
      <c r="H396" t="s">
        <v>3204</v>
      </c>
      <c r="I396" t="s">
        <v>128</v>
      </c>
      <c r="J396" s="2" t="s">
        <v>4903</v>
      </c>
      <c r="K396" t="s">
        <v>4904</v>
      </c>
      <c r="L396" t="s">
        <v>60</v>
      </c>
      <c r="M396" t="s">
        <v>4905</v>
      </c>
      <c r="N396" t="s">
        <v>62</v>
      </c>
      <c r="O396" t="str">
        <f>"08901"</f>
        <v>08901</v>
      </c>
      <c r="P396" t="s">
        <v>4904</v>
      </c>
      <c r="S396" t="s">
        <v>4905</v>
      </c>
      <c r="T396" t="s">
        <v>62</v>
      </c>
      <c r="U396" t="str">
        <f>"08901"</f>
        <v>08901</v>
      </c>
      <c r="W396" t="s">
        <v>4906</v>
      </c>
      <c r="X396" t="s">
        <v>77</v>
      </c>
      <c r="Y396" t="s">
        <v>120</v>
      </c>
      <c r="Z396" t="s">
        <v>491</v>
      </c>
      <c r="AA396" t="s">
        <v>112</v>
      </c>
      <c r="AB396" t="s">
        <v>54</v>
      </c>
      <c r="AC396" t="s">
        <v>1025</v>
      </c>
      <c r="AD396" t="s">
        <v>4907</v>
      </c>
      <c r="AE396" t="s">
        <v>181</v>
      </c>
      <c r="AF396" t="s">
        <v>70</v>
      </c>
      <c r="AG396" t="s">
        <v>2471</v>
      </c>
      <c r="AH396" t="s">
        <v>4908</v>
      </c>
      <c r="AI396" t="s">
        <v>73</v>
      </c>
      <c r="AJ396" t="s">
        <v>70</v>
      </c>
      <c r="AK396" t="s">
        <v>4173</v>
      </c>
      <c r="AL396" t="s">
        <v>1423</v>
      </c>
      <c r="AM396" t="s">
        <v>76</v>
      </c>
      <c r="AN396" t="s">
        <v>77</v>
      </c>
      <c r="AO396" t="s">
        <v>1690</v>
      </c>
      <c r="AP396" t="s">
        <v>4909</v>
      </c>
      <c r="AQ396" t="s">
        <v>80</v>
      </c>
      <c r="AR396" t="s">
        <v>70</v>
      </c>
      <c r="AS396" t="s">
        <v>1444</v>
      </c>
      <c r="AT396" t="s">
        <v>3204</v>
      </c>
      <c r="AU396" t="s">
        <v>83</v>
      </c>
      <c r="AV396" t="s">
        <v>4910</v>
      </c>
      <c r="AW396" t="str">
        <f>"3400047"</f>
        <v>3400047</v>
      </c>
    </row>
    <row r="397" spans="1:49">
      <c r="A397" t="str">
        <f>"80"</f>
        <v>80</v>
      </c>
      <c r="B397" t="s">
        <v>4815</v>
      </c>
      <c r="C397" t="str">
        <f>"6041"</f>
        <v>6041</v>
      </c>
      <c r="D397" t="s">
        <v>4911</v>
      </c>
      <c r="E397" t="str">
        <f>"916"</f>
        <v>916</v>
      </c>
      <c r="F397" t="s">
        <v>65</v>
      </c>
      <c r="G397" t="s">
        <v>4912</v>
      </c>
      <c r="H397" t="s">
        <v>1664</v>
      </c>
      <c r="I397" t="s">
        <v>57</v>
      </c>
      <c r="J397" s="2" t="s">
        <v>4913</v>
      </c>
      <c r="K397" t="s">
        <v>4914</v>
      </c>
      <c r="L397" t="s">
        <v>60</v>
      </c>
      <c r="M397" t="s">
        <v>4872</v>
      </c>
      <c r="N397" t="s">
        <v>62</v>
      </c>
      <c r="O397" t="str">
        <f>"08816"</f>
        <v>08816</v>
      </c>
      <c r="P397" t="s">
        <v>4914</v>
      </c>
      <c r="S397" t="s">
        <v>4872</v>
      </c>
      <c r="T397" t="s">
        <v>62</v>
      </c>
      <c r="U397" t="str">
        <f>"08816"</f>
        <v>08816</v>
      </c>
      <c r="W397" t="s">
        <v>4915</v>
      </c>
      <c r="X397" t="s">
        <v>54</v>
      </c>
      <c r="Y397" t="s">
        <v>186</v>
      </c>
      <c r="Z397" t="s">
        <v>4037</v>
      </c>
      <c r="AA397" t="s">
        <v>112</v>
      </c>
      <c r="AB397" t="s">
        <v>54</v>
      </c>
      <c r="AC397" t="s">
        <v>4916</v>
      </c>
      <c r="AD397" t="s">
        <v>4917</v>
      </c>
      <c r="AE397" t="s">
        <v>587</v>
      </c>
      <c r="AF397" t="s">
        <v>70</v>
      </c>
      <c r="AG397" t="s">
        <v>957</v>
      </c>
      <c r="AH397" t="s">
        <v>4918</v>
      </c>
      <c r="AI397" t="s">
        <v>73</v>
      </c>
      <c r="AJ397" t="s">
        <v>54</v>
      </c>
      <c r="AK397" t="s">
        <v>4916</v>
      </c>
      <c r="AL397" t="s">
        <v>4917</v>
      </c>
      <c r="AM397" t="s">
        <v>76</v>
      </c>
      <c r="AN397" t="s">
        <v>65</v>
      </c>
      <c r="AO397" t="s">
        <v>4912</v>
      </c>
      <c r="AP397" t="s">
        <v>1664</v>
      </c>
      <c r="AQ397" t="s">
        <v>80</v>
      </c>
      <c r="AR397" t="s">
        <v>65</v>
      </c>
      <c r="AS397" t="s">
        <v>4912</v>
      </c>
      <c r="AT397" t="s">
        <v>1664</v>
      </c>
      <c r="AU397" t="s">
        <v>83</v>
      </c>
      <c r="AV397" t="s">
        <v>4919</v>
      </c>
      <c r="AW397" t="str">
        <f>"3400735"</f>
        <v>3400735</v>
      </c>
    </row>
    <row r="398" spans="1:49">
      <c r="A398" t="str">
        <f>"23"</f>
        <v>23</v>
      </c>
      <c r="B398" t="s">
        <v>4815</v>
      </c>
      <c r="C398" t="str">
        <f>"2150"</f>
        <v>2150</v>
      </c>
      <c r="D398" t="s">
        <v>4920</v>
      </c>
      <c r="F398" t="s">
        <v>65</v>
      </c>
      <c r="G398" t="s">
        <v>4921</v>
      </c>
      <c r="H398" t="s">
        <v>4922</v>
      </c>
      <c r="I398" t="s">
        <v>89</v>
      </c>
      <c r="J398" s="2" t="s">
        <v>4923</v>
      </c>
      <c r="K398" t="s">
        <v>4924</v>
      </c>
      <c r="L398" t="s">
        <v>60</v>
      </c>
      <c r="M398" t="s">
        <v>4925</v>
      </c>
      <c r="N398" t="s">
        <v>62</v>
      </c>
      <c r="O398" t="str">
        <f>"08904"</f>
        <v>08904</v>
      </c>
      <c r="P398" t="s">
        <v>4924</v>
      </c>
      <c r="S398" t="s">
        <v>4925</v>
      </c>
      <c r="T398" t="s">
        <v>62</v>
      </c>
      <c r="U398" t="str">
        <f>"08904"</f>
        <v>08904</v>
      </c>
      <c r="W398" t="s">
        <v>4926</v>
      </c>
      <c r="X398" t="s">
        <v>70</v>
      </c>
      <c r="Y398" t="s">
        <v>4927</v>
      </c>
      <c r="Z398" t="s">
        <v>4928</v>
      </c>
      <c r="AA398" t="s">
        <v>112</v>
      </c>
      <c r="AB398" t="s">
        <v>70</v>
      </c>
      <c r="AC398" t="s">
        <v>4929</v>
      </c>
      <c r="AD398" t="s">
        <v>4930</v>
      </c>
      <c r="AE398" t="s">
        <v>98</v>
      </c>
      <c r="AF398" t="s">
        <v>70</v>
      </c>
      <c r="AG398" t="s">
        <v>4931</v>
      </c>
      <c r="AH398" t="s">
        <v>4932</v>
      </c>
      <c r="AI398" t="s">
        <v>73</v>
      </c>
      <c r="AJ398" t="s">
        <v>65</v>
      </c>
      <c r="AK398" t="s">
        <v>4921</v>
      </c>
      <c r="AL398" t="s">
        <v>4922</v>
      </c>
      <c r="AM398" t="s">
        <v>76</v>
      </c>
      <c r="AN398" t="s">
        <v>70</v>
      </c>
      <c r="AO398" t="s">
        <v>4933</v>
      </c>
      <c r="AP398" t="s">
        <v>4934</v>
      </c>
      <c r="AQ398" t="s">
        <v>80</v>
      </c>
      <c r="AR398" t="s">
        <v>70</v>
      </c>
      <c r="AS398" t="s">
        <v>4935</v>
      </c>
      <c r="AT398" t="s">
        <v>4936</v>
      </c>
      <c r="AU398" t="s">
        <v>83</v>
      </c>
      <c r="AV398" t="s">
        <v>4937</v>
      </c>
      <c r="AW398" t="str">
        <f>"3407170"</f>
        <v>3407170</v>
      </c>
    </row>
    <row r="399" spans="1:49">
      <c r="A399" t="str">
        <f>"23"</f>
        <v>23</v>
      </c>
      <c r="B399" t="s">
        <v>4815</v>
      </c>
      <c r="C399" t="str">
        <f>"2370"</f>
        <v>2370</v>
      </c>
      <c r="D399" t="s">
        <v>4938</v>
      </c>
      <c r="F399" t="s">
        <v>65</v>
      </c>
      <c r="G399" t="s">
        <v>245</v>
      </c>
      <c r="H399" t="s">
        <v>4939</v>
      </c>
      <c r="I399" t="s">
        <v>89</v>
      </c>
      <c r="J399" s="2" t="s">
        <v>4940</v>
      </c>
      <c r="K399" t="s">
        <v>4941</v>
      </c>
      <c r="L399" t="s">
        <v>60</v>
      </c>
      <c r="M399" t="s">
        <v>4942</v>
      </c>
      <c r="N399" t="s">
        <v>62</v>
      </c>
      <c r="O399" t="str">
        <f>"08831"</f>
        <v>08831</v>
      </c>
      <c r="P399" t="s">
        <v>4941</v>
      </c>
      <c r="S399" t="s">
        <v>4942</v>
      </c>
      <c r="T399" t="s">
        <v>62</v>
      </c>
      <c r="U399" t="str">
        <f>"08831"</f>
        <v>08831</v>
      </c>
      <c r="W399" t="s">
        <v>4943</v>
      </c>
      <c r="X399" t="s">
        <v>77</v>
      </c>
      <c r="Y399" t="s">
        <v>2575</v>
      </c>
      <c r="Z399" t="s">
        <v>4944</v>
      </c>
      <c r="AA399" t="s">
        <v>135</v>
      </c>
      <c r="AB399" t="s">
        <v>54</v>
      </c>
      <c r="AC399" t="s">
        <v>680</v>
      </c>
      <c r="AD399" t="s">
        <v>2662</v>
      </c>
      <c r="AE399" t="s">
        <v>69</v>
      </c>
      <c r="AF399" t="s">
        <v>70</v>
      </c>
      <c r="AG399" t="s">
        <v>711</v>
      </c>
      <c r="AH399" t="s">
        <v>3927</v>
      </c>
      <c r="AI399" t="s">
        <v>73</v>
      </c>
      <c r="AJ399" t="s">
        <v>77</v>
      </c>
      <c r="AK399" t="s">
        <v>4945</v>
      </c>
      <c r="AL399" t="s">
        <v>4946</v>
      </c>
      <c r="AM399" t="s">
        <v>76</v>
      </c>
      <c r="AN399" t="s">
        <v>77</v>
      </c>
      <c r="AO399" t="s">
        <v>287</v>
      </c>
      <c r="AP399" t="s">
        <v>4008</v>
      </c>
      <c r="AQ399" t="s">
        <v>80</v>
      </c>
      <c r="AR399" t="s">
        <v>77</v>
      </c>
      <c r="AS399" t="s">
        <v>245</v>
      </c>
      <c r="AT399" t="s">
        <v>4939</v>
      </c>
      <c r="AU399" t="s">
        <v>83</v>
      </c>
      <c r="AV399" t="s">
        <v>4947</v>
      </c>
      <c r="AW399" t="str">
        <f>"3407770"</f>
        <v>3407770</v>
      </c>
    </row>
    <row r="400" spans="1:49">
      <c r="A400" t="str">
        <f>"23"</f>
        <v>23</v>
      </c>
      <c r="B400" t="s">
        <v>4815</v>
      </c>
      <c r="C400" t="str">
        <f>"3120"</f>
        <v>3120</v>
      </c>
      <c r="D400" t="s">
        <v>4948</v>
      </c>
      <c r="F400" t="s">
        <v>65</v>
      </c>
      <c r="G400" t="s">
        <v>687</v>
      </c>
      <c r="H400" t="s">
        <v>1570</v>
      </c>
      <c r="I400" t="s">
        <v>89</v>
      </c>
      <c r="J400" s="2" t="s">
        <v>4949</v>
      </c>
      <c r="K400" t="s">
        <v>4950</v>
      </c>
      <c r="L400" t="s">
        <v>60</v>
      </c>
      <c r="M400" t="s">
        <v>4951</v>
      </c>
      <c r="N400" t="s">
        <v>62</v>
      </c>
      <c r="O400" t="str">
        <f>"08840"</f>
        <v>08840</v>
      </c>
      <c r="P400" t="s">
        <v>4950</v>
      </c>
      <c r="S400" t="s">
        <v>4951</v>
      </c>
      <c r="T400" t="s">
        <v>62</v>
      </c>
      <c r="U400" t="str">
        <f>"08840"</f>
        <v>08840</v>
      </c>
      <c r="W400" t="s">
        <v>4952</v>
      </c>
      <c r="X400" t="s">
        <v>77</v>
      </c>
      <c r="Y400" t="s">
        <v>120</v>
      </c>
      <c r="Z400" t="s">
        <v>4953</v>
      </c>
      <c r="AA400" t="s">
        <v>135</v>
      </c>
      <c r="AB400" t="s">
        <v>65</v>
      </c>
      <c r="AC400" t="s">
        <v>3657</v>
      </c>
      <c r="AD400" t="s">
        <v>4954</v>
      </c>
      <c r="AE400" t="s">
        <v>98</v>
      </c>
      <c r="AF400" t="s">
        <v>70</v>
      </c>
      <c r="AG400" t="s">
        <v>262</v>
      </c>
      <c r="AH400" t="s">
        <v>4955</v>
      </c>
      <c r="AI400" t="s">
        <v>73</v>
      </c>
      <c r="AJ400" t="s">
        <v>77</v>
      </c>
      <c r="AK400" t="s">
        <v>223</v>
      </c>
      <c r="AL400" t="s">
        <v>417</v>
      </c>
      <c r="AM400" t="s">
        <v>76</v>
      </c>
      <c r="AN400" t="s">
        <v>77</v>
      </c>
      <c r="AO400" t="s">
        <v>287</v>
      </c>
      <c r="AP400" t="s">
        <v>4956</v>
      </c>
      <c r="AQ400" t="s">
        <v>80</v>
      </c>
      <c r="AR400" t="s">
        <v>77</v>
      </c>
      <c r="AS400" t="s">
        <v>1030</v>
      </c>
      <c r="AT400" t="s">
        <v>4957</v>
      </c>
      <c r="AU400" t="s">
        <v>83</v>
      </c>
      <c r="AV400" t="s">
        <v>4958</v>
      </c>
      <c r="AW400" t="str">
        <f>"3409990"</f>
        <v>3409990</v>
      </c>
    </row>
    <row r="401" spans="1:49">
      <c r="A401" t="str">
        <f>"23"</f>
        <v>23</v>
      </c>
      <c r="B401" t="s">
        <v>4815</v>
      </c>
      <c r="C401" t="str">
        <f>"3140"</f>
        <v>3140</v>
      </c>
      <c r="D401" t="s">
        <v>4959</v>
      </c>
      <c r="F401" t="s">
        <v>65</v>
      </c>
      <c r="G401" t="s">
        <v>4960</v>
      </c>
      <c r="H401" t="s">
        <v>510</v>
      </c>
      <c r="I401" t="s">
        <v>89</v>
      </c>
      <c r="J401" s="2" t="s">
        <v>4961</v>
      </c>
      <c r="K401" t="s">
        <v>4962</v>
      </c>
      <c r="L401" t="s">
        <v>60</v>
      </c>
      <c r="M401" t="s">
        <v>4963</v>
      </c>
      <c r="N401" t="s">
        <v>62</v>
      </c>
      <c r="O401" t="str">
        <f>"08846"</f>
        <v>08846</v>
      </c>
      <c r="P401" t="s">
        <v>4962</v>
      </c>
      <c r="S401" t="s">
        <v>4963</v>
      </c>
      <c r="T401" t="s">
        <v>62</v>
      </c>
      <c r="U401" t="str">
        <f>"08846"</f>
        <v>08846</v>
      </c>
      <c r="W401" t="s">
        <v>4964</v>
      </c>
      <c r="X401" t="s">
        <v>54</v>
      </c>
      <c r="Y401" t="s">
        <v>291</v>
      </c>
      <c r="Z401" t="s">
        <v>4965</v>
      </c>
      <c r="AA401" t="s">
        <v>112</v>
      </c>
      <c r="AB401" t="s">
        <v>70</v>
      </c>
      <c r="AC401" t="s">
        <v>4966</v>
      </c>
      <c r="AD401" t="s">
        <v>899</v>
      </c>
      <c r="AE401" t="s">
        <v>98</v>
      </c>
      <c r="AF401" t="s">
        <v>54</v>
      </c>
      <c r="AG401" t="s">
        <v>1124</v>
      </c>
      <c r="AH401" t="s">
        <v>1098</v>
      </c>
      <c r="AI401" t="s">
        <v>73</v>
      </c>
      <c r="AJ401" t="s">
        <v>54</v>
      </c>
      <c r="AK401" t="s">
        <v>155</v>
      </c>
      <c r="AL401" t="s">
        <v>4840</v>
      </c>
      <c r="AM401" t="s">
        <v>76</v>
      </c>
      <c r="AN401" t="s">
        <v>77</v>
      </c>
      <c r="AO401" t="s">
        <v>4112</v>
      </c>
      <c r="AP401" t="s">
        <v>4967</v>
      </c>
      <c r="AQ401" t="s">
        <v>80</v>
      </c>
      <c r="AR401" t="s">
        <v>77</v>
      </c>
      <c r="AS401" t="s">
        <v>223</v>
      </c>
      <c r="AT401" t="s">
        <v>4968</v>
      </c>
      <c r="AU401" t="s">
        <v>83</v>
      </c>
      <c r="AV401" t="s">
        <v>4969</v>
      </c>
      <c r="AW401" t="str">
        <f>"3410050"</f>
        <v>3410050</v>
      </c>
    </row>
    <row r="402" spans="1:49">
      <c r="A402" t="str">
        <f>"80"</f>
        <v>80</v>
      </c>
      <c r="B402" t="s">
        <v>4815</v>
      </c>
      <c r="C402" t="str">
        <f>"7896"</f>
        <v>7896</v>
      </c>
      <c r="D402" t="s">
        <v>4970</v>
      </c>
      <c r="E402" t="str">
        <f>"923"</f>
        <v>923</v>
      </c>
      <c r="F402" t="s">
        <v>65</v>
      </c>
      <c r="G402" t="s">
        <v>4971</v>
      </c>
      <c r="H402" t="s">
        <v>4972</v>
      </c>
      <c r="I402" t="s">
        <v>128</v>
      </c>
      <c r="J402" s="2" t="s">
        <v>4973</v>
      </c>
      <c r="K402" t="s">
        <v>4974</v>
      </c>
      <c r="L402" t="s">
        <v>60</v>
      </c>
      <c r="M402" t="s">
        <v>4820</v>
      </c>
      <c r="N402" t="s">
        <v>62</v>
      </c>
      <c r="O402" t="str">
        <f>"08861"</f>
        <v>08861</v>
      </c>
      <c r="P402" t="s">
        <v>4974</v>
      </c>
      <c r="S402" t="s">
        <v>4820</v>
      </c>
      <c r="T402" t="s">
        <v>62</v>
      </c>
      <c r="U402" t="str">
        <f>"08861"</f>
        <v>08861</v>
      </c>
      <c r="W402" t="s">
        <v>4975</v>
      </c>
      <c r="X402" t="s">
        <v>77</v>
      </c>
      <c r="Y402" t="s">
        <v>4976</v>
      </c>
      <c r="Z402" t="s">
        <v>4977</v>
      </c>
      <c r="AA402" t="s">
        <v>112</v>
      </c>
      <c r="AB402" t="s">
        <v>70</v>
      </c>
      <c r="AC402" t="s">
        <v>4978</v>
      </c>
      <c r="AD402" t="s">
        <v>600</v>
      </c>
      <c r="AE402" t="s">
        <v>181</v>
      </c>
      <c r="AF402" t="s">
        <v>54</v>
      </c>
      <c r="AG402" t="s">
        <v>2651</v>
      </c>
      <c r="AH402" t="s">
        <v>4979</v>
      </c>
      <c r="AI402" t="s">
        <v>73</v>
      </c>
      <c r="AJ402" t="s">
        <v>54</v>
      </c>
      <c r="AK402" t="s">
        <v>984</v>
      </c>
      <c r="AL402" t="s">
        <v>4980</v>
      </c>
      <c r="AM402" t="s">
        <v>76</v>
      </c>
      <c r="AR402" t="s">
        <v>54</v>
      </c>
      <c r="AS402" t="s">
        <v>4981</v>
      </c>
      <c r="AT402" t="s">
        <v>328</v>
      </c>
      <c r="AU402" t="s">
        <v>83</v>
      </c>
      <c r="AV402" t="s">
        <v>4982</v>
      </c>
    </row>
    <row r="403" spans="1:49">
      <c r="A403" t="str">
        <f t="shared" ref="A403:A417" si="16">"23"</f>
        <v>23</v>
      </c>
      <c r="B403" t="s">
        <v>4815</v>
      </c>
      <c r="C403" t="str">
        <f>"3150"</f>
        <v>3150</v>
      </c>
      <c r="D403" t="s">
        <v>4983</v>
      </c>
      <c r="F403" t="s">
        <v>54</v>
      </c>
      <c r="G403" t="s">
        <v>4984</v>
      </c>
      <c r="H403" t="s">
        <v>4985</v>
      </c>
      <c r="I403" t="s">
        <v>89</v>
      </c>
      <c r="J403" s="2" t="s">
        <v>4986</v>
      </c>
      <c r="K403" t="s">
        <v>4987</v>
      </c>
      <c r="L403" t="s">
        <v>60</v>
      </c>
      <c r="M403" t="s">
        <v>4872</v>
      </c>
      <c r="N403" t="s">
        <v>62</v>
      </c>
      <c r="O403" t="s">
        <v>4988</v>
      </c>
      <c r="P403" t="s">
        <v>4987</v>
      </c>
      <c r="Q403" t="s">
        <v>4989</v>
      </c>
      <c r="S403" t="s">
        <v>4872</v>
      </c>
      <c r="T403" t="s">
        <v>62</v>
      </c>
      <c r="U403" t="str">
        <f>"08816"</f>
        <v>08816</v>
      </c>
      <c r="V403" t="str">
        <f>"1070"</f>
        <v>1070</v>
      </c>
      <c r="W403" t="s">
        <v>4990</v>
      </c>
      <c r="X403" t="s">
        <v>77</v>
      </c>
      <c r="Y403" t="s">
        <v>4991</v>
      </c>
      <c r="Z403" t="s">
        <v>4992</v>
      </c>
      <c r="AA403" t="s">
        <v>135</v>
      </c>
      <c r="AB403" t="s">
        <v>70</v>
      </c>
      <c r="AC403" t="s">
        <v>680</v>
      </c>
      <c r="AD403" t="s">
        <v>900</v>
      </c>
      <c r="AE403" t="s">
        <v>69</v>
      </c>
      <c r="AF403" t="s">
        <v>77</v>
      </c>
      <c r="AG403" t="s">
        <v>3970</v>
      </c>
      <c r="AH403" t="s">
        <v>4993</v>
      </c>
      <c r="AI403" t="s">
        <v>73</v>
      </c>
      <c r="AJ403" t="s">
        <v>77</v>
      </c>
      <c r="AK403" t="s">
        <v>87</v>
      </c>
      <c r="AL403" t="s">
        <v>4994</v>
      </c>
      <c r="AM403" t="s">
        <v>76</v>
      </c>
      <c r="AN403" t="s">
        <v>77</v>
      </c>
      <c r="AO403" t="s">
        <v>4995</v>
      </c>
      <c r="AP403" t="s">
        <v>4996</v>
      </c>
      <c r="AQ403" t="s">
        <v>80</v>
      </c>
      <c r="AR403" t="s">
        <v>77</v>
      </c>
      <c r="AS403" t="s">
        <v>3970</v>
      </c>
      <c r="AT403" t="s">
        <v>4993</v>
      </c>
      <c r="AU403" t="s">
        <v>83</v>
      </c>
      <c r="AV403" t="s">
        <v>4997</v>
      </c>
      <c r="AW403" t="str">
        <f>"3410080"</f>
        <v>3410080</v>
      </c>
    </row>
    <row r="404" spans="1:49">
      <c r="A404" t="str">
        <f t="shared" si="16"/>
        <v>23</v>
      </c>
      <c r="B404" t="s">
        <v>4815</v>
      </c>
      <c r="C404" t="str">
        <f>"3220"</f>
        <v>3220</v>
      </c>
      <c r="D404" t="s">
        <v>4998</v>
      </c>
      <c r="F404" t="s">
        <v>65</v>
      </c>
      <c r="G404" t="s">
        <v>1164</v>
      </c>
      <c r="H404" t="s">
        <v>855</v>
      </c>
      <c r="I404" t="s">
        <v>57</v>
      </c>
      <c r="J404" s="2" t="s">
        <v>4999</v>
      </c>
      <c r="K404" t="s">
        <v>5000</v>
      </c>
      <c r="L404" t="s">
        <v>60</v>
      </c>
      <c r="M404" t="s">
        <v>5001</v>
      </c>
      <c r="N404" t="s">
        <v>62</v>
      </c>
      <c r="O404" t="s">
        <v>5002</v>
      </c>
      <c r="P404" t="s">
        <v>5000</v>
      </c>
      <c r="S404" t="s">
        <v>5001</v>
      </c>
      <c r="T404" t="s">
        <v>62</v>
      </c>
      <c r="U404" t="str">
        <f>"08850"</f>
        <v>08850</v>
      </c>
      <c r="V404" t="str">
        <f>"1643"</f>
        <v>1643</v>
      </c>
      <c r="W404" t="s">
        <v>5003</v>
      </c>
      <c r="X404" t="s">
        <v>70</v>
      </c>
      <c r="Y404" t="s">
        <v>5004</v>
      </c>
      <c r="Z404" t="s">
        <v>5005</v>
      </c>
      <c r="AA404" t="s">
        <v>135</v>
      </c>
      <c r="AB404" t="s">
        <v>54</v>
      </c>
      <c r="AC404" t="s">
        <v>2208</v>
      </c>
      <c r="AD404" t="s">
        <v>5006</v>
      </c>
      <c r="AE404" t="s">
        <v>69</v>
      </c>
      <c r="AF404" t="s">
        <v>54</v>
      </c>
      <c r="AG404" t="s">
        <v>5007</v>
      </c>
      <c r="AH404" t="s">
        <v>5008</v>
      </c>
      <c r="AI404" t="s">
        <v>73</v>
      </c>
      <c r="AJ404" t="s">
        <v>54</v>
      </c>
      <c r="AK404" t="s">
        <v>5007</v>
      </c>
      <c r="AL404" t="s">
        <v>5008</v>
      </c>
      <c r="AM404" t="s">
        <v>76</v>
      </c>
      <c r="AR404" t="s">
        <v>77</v>
      </c>
      <c r="AS404" t="s">
        <v>1418</v>
      </c>
      <c r="AT404" t="s">
        <v>1574</v>
      </c>
      <c r="AU404" t="s">
        <v>83</v>
      </c>
      <c r="AV404" t="s">
        <v>5009</v>
      </c>
      <c r="AW404" t="str">
        <f>"3410290"</f>
        <v>3410290</v>
      </c>
    </row>
    <row r="405" spans="1:49">
      <c r="A405" t="str">
        <f t="shared" si="16"/>
        <v>23</v>
      </c>
      <c r="B405" t="s">
        <v>4815</v>
      </c>
      <c r="C405" t="str">
        <f>"3290"</f>
        <v>3290</v>
      </c>
      <c r="D405" t="s">
        <v>5010</v>
      </c>
      <c r="F405" t="s">
        <v>65</v>
      </c>
      <c r="G405" t="s">
        <v>5011</v>
      </c>
      <c r="H405" t="s">
        <v>5012</v>
      </c>
      <c r="I405" t="s">
        <v>89</v>
      </c>
      <c r="J405" s="2" t="s">
        <v>5013</v>
      </c>
      <c r="K405" t="s">
        <v>5014</v>
      </c>
      <c r="L405" t="s">
        <v>60</v>
      </c>
      <c r="M405" t="s">
        <v>5015</v>
      </c>
      <c r="N405" t="s">
        <v>62</v>
      </c>
      <c r="O405" t="str">
        <f>"08831"</f>
        <v>08831</v>
      </c>
      <c r="P405" t="s">
        <v>5014</v>
      </c>
      <c r="S405" t="s">
        <v>5015</v>
      </c>
      <c r="T405" t="s">
        <v>62</v>
      </c>
      <c r="U405" t="str">
        <f>"08831"</f>
        <v>08831</v>
      </c>
      <c r="W405" t="s">
        <v>5016</v>
      </c>
      <c r="X405" t="s">
        <v>77</v>
      </c>
      <c r="Y405" t="s">
        <v>120</v>
      </c>
      <c r="Z405" t="s">
        <v>5017</v>
      </c>
      <c r="AA405" t="s">
        <v>135</v>
      </c>
      <c r="AB405" t="s">
        <v>70</v>
      </c>
      <c r="AC405" t="s">
        <v>5018</v>
      </c>
      <c r="AD405" t="s">
        <v>5019</v>
      </c>
      <c r="AE405" t="s">
        <v>98</v>
      </c>
      <c r="AF405" t="s">
        <v>70</v>
      </c>
      <c r="AG405" t="s">
        <v>2874</v>
      </c>
      <c r="AH405" t="s">
        <v>5020</v>
      </c>
      <c r="AI405" t="s">
        <v>73</v>
      </c>
      <c r="AJ405" t="s">
        <v>70</v>
      </c>
      <c r="AK405" t="s">
        <v>5021</v>
      </c>
      <c r="AL405" t="s">
        <v>5022</v>
      </c>
      <c r="AM405" t="s">
        <v>76</v>
      </c>
      <c r="AN405" t="s">
        <v>77</v>
      </c>
      <c r="AO405" t="s">
        <v>5023</v>
      </c>
      <c r="AP405" t="s">
        <v>5024</v>
      </c>
      <c r="AQ405" t="s">
        <v>80</v>
      </c>
      <c r="AR405" t="s">
        <v>77</v>
      </c>
      <c r="AS405" t="s">
        <v>994</v>
      </c>
      <c r="AT405" t="s">
        <v>5025</v>
      </c>
      <c r="AU405" t="s">
        <v>83</v>
      </c>
      <c r="AV405" t="s">
        <v>5026</v>
      </c>
      <c r="AW405" t="str">
        <f>"3410500"</f>
        <v>3410500</v>
      </c>
    </row>
    <row r="406" spans="1:49">
      <c r="A406" t="str">
        <f t="shared" si="16"/>
        <v>23</v>
      </c>
      <c r="B406" t="s">
        <v>4815</v>
      </c>
      <c r="C406" t="str">
        <f>"3530"</f>
        <v>3530</v>
      </c>
      <c r="D406" t="s">
        <v>5027</v>
      </c>
      <c r="F406" t="s">
        <v>65</v>
      </c>
      <c r="G406" t="s">
        <v>5028</v>
      </c>
      <c r="H406" t="s">
        <v>2523</v>
      </c>
      <c r="I406" t="s">
        <v>57</v>
      </c>
      <c r="J406" s="2" t="s">
        <v>5029</v>
      </c>
      <c r="K406" t="s">
        <v>5030</v>
      </c>
      <c r="L406" t="s">
        <v>60</v>
      </c>
      <c r="M406" t="s">
        <v>4905</v>
      </c>
      <c r="N406" t="s">
        <v>62</v>
      </c>
      <c r="O406" t="str">
        <f>"08901"</f>
        <v>08901</v>
      </c>
      <c r="P406" t="s">
        <v>5030</v>
      </c>
      <c r="S406" t="s">
        <v>4905</v>
      </c>
      <c r="T406" t="s">
        <v>62</v>
      </c>
      <c r="U406" t="str">
        <f>"08901"</f>
        <v>08901</v>
      </c>
      <c r="W406" t="s">
        <v>5031</v>
      </c>
      <c r="X406" t="s">
        <v>77</v>
      </c>
      <c r="Y406" t="s">
        <v>223</v>
      </c>
      <c r="Z406" t="s">
        <v>5032</v>
      </c>
      <c r="AA406" t="s">
        <v>135</v>
      </c>
      <c r="AB406" t="s">
        <v>54</v>
      </c>
      <c r="AC406" t="s">
        <v>5033</v>
      </c>
      <c r="AD406" t="s">
        <v>5034</v>
      </c>
      <c r="AE406" t="s">
        <v>181</v>
      </c>
      <c r="AF406" t="s">
        <v>54</v>
      </c>
      <c r="AG406" t="s">
        <v>5033</v>
      </c>
      <c r="AH406" t="s">
        <v>5034</v>
      </c>
      <c r="AI406" t="s">
        <v>73</v>
      </c>
      <c r="AJ406" t="s">
        <v>65</v>
      </c>
      <c r="AK406" t="s">
        <v>1444</v>
      </c>
      <c r="AL406" t="s">
        <v>5035</v>
      </c>
      <c r="AM406" t="s">
        <v>76</v>
      </c>
      <c r="AN406" t="s">
        <v>77</v>
      </c>
      <c r="AO406" t="s">
        <v>422</v>
      </c>
      <c r="AP406" t="s">
        <v>5036</v>
      </c>
      <c r="AQ406" t="s">
        <v>80</v>
      </c>
      <c r="AR406" t="s">
        <v>77</v>
      </c>
      <c r="AS406" t="s">
        <v>328</v>
      </c>
      <c r="AT406" t="s">
        <v>5037</v>
      </c>
      <c r="AU406" t="s">
        <v>83</v>
      </c>
      <c r="AV406" t="s">
        <v>5038</v>
      </c>
      <c r="AW406" t="str">
        <f>"3411220"</f>
        <v>3411220</v>
      </c>
    </row>
    <row r="407" spans="1:49">
      <c r="A407" t="str">
        <f t="shared" si="16"/>
        <v>23</v>
      </c>
      <c r="B407" t="s">
        <v>4815</v>
      </c>
      <c r="C407" t="str">
        <f>"3620"</f>
        <v>3620</v>
      </c>
      <c r="D407" t="s">
        <v>5039</v>
      </c>
      <c r="F407" t="s">
        <v>65</v>
      </c>
      <c r="G407" t="s">
        <v>212</v>
      </c>
      <c r="H407" t="s">
        <v>5040</v>
      </c>
      <c r="I407" t="s">
        <v>89</v>
      </c>
      <c r="J407" s="2" t="s">
        <v>5041</v>
      </c>
      <c r="K407" t="s">
        <v>5042</v>
      </c>
      <c r="L407" t="s">
        <v>5043</v>
      </c>
      <c r="M407" t="s">
        <v>5044</v>
      </c>
      <c r="N407" t="s">
        <v>62</v>
      </c>
      <c r="O407" t="str">
        <f>"08902"</f>
        <v>08902</v>
      </c>
      <c r="P407" t="s">
        <v>5045</v>
      </c>
      <c r="Q407" t="s">
        <v>5046</v>
      </c>
      <c r="S407" t="s">
        <v>5044</v>
      </c>
      <c r="T407" t="s">
        <v>62</v>
      </c>
      <c r="U407" t="str">
        <f>"08902"</f>
        <v>08902</v>
      </c>
      <c r="W407" t="s">
        <v>5047</v>
      </c>
      <c r="X407" t="s">
        <v>77</v>
      </c>
      <c r="Y407" t="s">
        <v>212</v>
      </c>
      <c r="Z407" t="s">
        <v>491</v>
      </c>
      <c r="AA407" t="s">
        <v>773</v>
      </c>
      <c r="AB407" t="s">
        <v>77</v>
      </c>
      <c r="AC407" t="s">
        <v>287</v>
      </c>
      <c r="AD407" t="s">
        <v>5048</v>
      </c>
      <c r="AE407" t="s">
        <v>587</v>
      </c>
      <c r="AF407" t="s">
        <v>77</v>
      </c>
      <c r="AG407" t="s">
        <v>328</v>
      </c>
      <c r="AH407" t="s">
        <v>5049</v>
      </c>
      <c r="AI407" t="s">
        <v>73</v>
      </c>
      <c r="AJ407" t="s">
        <v>70</v>
      </c>
      <c r="AK407" t="s">
        <v>2012</v>
      </c>
      <c r="AL407" t="s">
        <v>5050</v>
      </c>
      <c r="AM407" t="s">
        <v>76</v>
      </c>
      <c r="AN407" t="s">
        <v>77</v>
      </c>
      <c r="AO407" t="s">
        <v>2433</v>
      </c>
      <c r="AP407" t="s">
        <v>4623</v>
      </c>
      <c r="AQ407" t="s">
        <v>80</v>
      </c>
      <c r="AR407" t="s">
        <v>77</v>
      </c>
      <c r="AS407" t="s">
        <v>120</v>
      </c>
      <c r="AT407" t="s">
        <v>5051</v>
      </c>
      <c r="AU407" t="s">
        <v>83</v>
      </c>
      <c r="AV407" t="s">
        <v>5052</v>
      </c>
      <c r="AW407" t="str">
        <f>"3411490"</f>
        <v>3411490</v>
      </c>
    </row>
    <row r="408" spans="1:49">
      <c r="A408" t="str">
        <f t="shared" si="16"/>
        <v>23</v>
      </c>
      <c r="B408" t="s">
        <v>4815</v>
      </c>
      <c r="C408" t="str">
        <f>"3845"</f>
        <v>3845</v>
      </c>
      <c r="D408" t="s">
        <v>5053</v>
      </c>
      <c r="F408" t="s">
        <v>77</v>
      </c>
      <c r="G408" t="s">
        <v>190</v>
      </c>
      <c r="H408" t="s">
        <v>5054</v>
      </c>
      <c r="I408" t="s">
        <v>89</v>
      </c>
      <c r="J408" s="2" t="s">
        <v>5055</v>
      </c>
      <c r="K408" t="s">
        <v>5056</v>
      </c>
      <c r="L408" t="s">
        <v>5057</v>
      </c>
      <c r="M408" t="s">
        <v>5058</v>
      </c>
      <c r="N408" t="s">
        <v>62</v>
      </c>
      <c r="O408" t="str">
        <f>"07747"</f>
        <v>07747</v>
      </c>
      <c r="P408" t="s">
        <v>5056</v>
      </c>
      <c r="Q408" t="s">
        <v>5059</v>
      </c>
      <c r="S408" t="s">
        <v>5058</v>
      </c>
      <c r="T408" t="s">
        <v>62</v>
      </c>
      <c r="U408" t="str">
        <f>"07747"</f>
        <v>07747</v>
      </c>
      <c r="W408" t="s">
        <v>5060</v>
      </c>
      <c r="X408" t="s">
        <v>77</v>
      </c>
      <c r="Y408" t="s">
        <v>358</v>
      </c>
      <c r="Z408" t="s">
        <v>5061</v>
      </c>
      <c r="AA408" t="s">
        <v>135</v>
      </c>
      <c r="AB408" t="s">
        <v>77</v>
      </c>
      <c r="AC408" t="s">
        <v>182</v>
      </c>
      <c r="AD408" t="s">
        <v>5062</v>
      </c>
      <c r="AE408" t="s">
        <v>587</v>
      </c>
      <c r="AF408" t="s">
        <v>70</v>
      </c>
      <c r="AG408" t="s">
        <v>5063</v>
      </c>
      <c r="AH408" t="s">
        <v>5064</v>
      </c>
      <c r="AI408" t="s">
        <v>73</v>
      </c>
      <c r="AJ408" t="s">
        <v>77</v>
      </c>
      <c r="AK408" t="s">
        <v>3970</v>
      </c>
      <c r="AL408" t="s">
        <v>5065</v>
      </c>
      <c r="AM408" t="s">
        <v>76</v>
      </c>
      <c r="AN408" t="s">
        <v>77</v>
      </c>
      <c r="AO408" t="s">
        <v>190</v>
      </c>
      <c r="AP408" t="s">
        <v>5054</v>
      </c>
      <c r="AQ408" t="s">
        <v>80</v>
      </c>
      <c r="AR408" t="s">
        <v>77</v>
      </c>
      <c r="AS408" t="s">
        <v>190</v>
      </c>
      <c r="AT408" t="s">
        <v>5054</v>
      </c>
      <c r="AU408" t="s">
        <v>83</v>
      </c>
      <c r="AV408" t="s">
        <v>5066</v>
      </c>
      <c r="AW408" t="str">
        <f>"3409270"</f>
        <v>3409270</v>
      </c>
    </row>
    <row r="409" spans="1:49">
      <c r="A409" t="str">
        <f t="shared" si="16"/>
        <v>23</v>
      </c>
      <c r="B409" t="s">
        <v>4815</v>
      </c>
      <c r="C409" t="str">
        <f>"4090"</f>
        <v>4090</v>
      </c>
      <c r="D409" t="s">
        <v>5067</v>
      </c>
      <c r="F409" t="s">
        <v>65</v>
      </c>
      <c r="G409" t="s">
        <v>190</v>
      </c>
      <c r="H409" t="s">
        <v>5068</v>
      </c>
      <c r="I409" t="s">
        <v>89</v>
      </c>
      <c r="J409" s="2" t="s">
        <v>5069</v>
      </c>
      <c r="K409" t="s">
        <v>5070</v>
      </c>
      <c r="L409" t="s">
        <v>60</v>
      </c>
      <c r="M409" t="s">
        <v>4820</v>
      </c>
      <c r="N409" t="s">
        <v>62</v>
      </c>
      <c r="O409" t="str">
        <f>"08861"</f>
        <v>08861</v>
      </c>
      <c r="P409" t="s">
        <v>5070</v>
      </c>
      <c r="S409" t="s">
        <v>4820</v>
      </c>
      <c r="T409" t="s">
        <v>62</v>
      </c>
      <c r="U409" t="str">
        <f>"08861"</f>
        <v>08861</v>
      </c>
      <c r="W409" t="s">
        <v>5071</v>
      </c>
      <c r="X409" t="s">
        <v>77</v>
      </c>
      <c r="Y409" t="s">
        <v>5072</v>
      </c>
      <c r="Z409" t="s">
        <v>5073</v>
      </c>
      <c r="AA409" t="s">
        <v>135</v>
      </c>
      <c r="AB409" t="s">
        <v>65</v>
      </c>
      <c r="AC409" t="s">
        <v>928</v>
      </c>
      <c r="AD409" t="s">
        <v>5074</v>
      </c>
      <c r="AE409" t="s">
        <v>98</v>
      </c>
      <c r="AF409" t="s">
        <v>70</v>
      </c>
      <c r="AG409" t="s">
        <v>838</v>
      </c>
      <c r="AH409" t="s">
        <v>5075</v>
      </c>
      <c r="AI409" t="s">
        <v>73</v>
      </c>
      <c r="AJ409" t="s">
        <v>70</v>
      </c>
      <c r="AK409" t="s">
        <v>838</v>
      </c>
      <c r="AL409" t="s">
        <v>5075</v>
      </c>
      <c r="AM409" t="s">
        <v>76</v>
      </c>
      <c r="AR409" t="s">
        <v>77</v>
      </c>
      <c r="AS409" t="s">
        <v>5076</v>
      </c>
      <c r="AT409" t="s">
        <v>5077</v>
      </c>
      <c r="AU409" t="s">
        <v>83</v>
      </c>
      <c r="AV409" t="s">
        <v>5078</v>
      </c>
      <c r="AW409" t="str">
        <f>"3412930"</f>
        <v>3412930</v>
      </c>
    </row>
    <row r="410" spans="1:49">
      <c r="A410" t="str">
        <f t="shared" si="16"/>
        <v>23</v>
      </c>
      <c r="B410" t="s">
        <v>4815</v>
      </c>
      <c r="C410" t="str">
        <f>"4130"</f>
        <v>4130</v>
      </c>
      <c r="D410" t="s">
        <v>5079</v>
      </c>
      <c r="F410" t="s">
        <v>65</v>
      </c>
      <c r="G410" t="s">
        <v>373</v>
      </c>
      <c r="H410" t="s">
        <v>5080</v>
      </c>
      <c r="I410" t="s">
        <v>89</v>
      </c>
      <c r="J410" s="2" t="s">
        <v>5081</v>
      </c>
      <c r="K410" t="s">
        <v>5082</v>
      </c>
      <c r="L410" t="s">
        <v>60</v>
      </c>
      <c r="M410" t="s">
        <v>4894</v>
      </c>
      <c r="N410" t="s">
        <v>62</v>
      </c>
      <c r="O410" t="str">
        <f>"08854"</f>
        <v>08854</v>
      </c>
      <c r="P410" t="s">
        <v>5082</v>
      </c>
      <c r="S410" t="s">
        <v>4894</v>
      </c>
      <c r="T410" t="s">
        <v>62</v>
      </c>
      <c r="U410" t="str">
        <f>"08854"</f>
        <v>08854</v>
      </c>
      <c r="W410" t="s">
        <v>5083</v>
      </c>
      <c r="Y410" t="s">
        <v>190</v>
      </c>
      <c r="Z410" t="s">
        <v>5084</v>
      </c>
      <c r="AA410" t="s">
        <v>68</v>
      </c>
      <c r="AC410" t="s">
        <v>273</v>
      </c>
      <c r="AD410" t="s">
        <v>5085</v>
      </c>
      <c r="AE410" t="s">
        <v>154</v>
      </c>
      <c r="AG410" t="s">
        <v>190</v>
      </c>
      <c r="AH410" t="s">
        <v>4955</v>
      </c>
      <c r="AI410" t="s">
        <v>73</v>
      </c>
      <c r="AK410" t="s">
        <v>273</v>
      </c>
      <c r="AL410" t="s">
        <v>5085</v>
      </c>
      <c r="AM410" t="s">
        <v>76</v>
      </c>
      <c r="AO410" t="s">
        <v>328</v>
      </c>
      <c r="AP410" t="s">
        <v>5086</v>
      </c>
      <c r="AQ410" t="s">
        <v>80</v>
      </c>
      <c r="AS410" t="s">
        <v>3566</v>
      </c>
      <c r="AT410" t="s">
        <v>5087</v>
      </c>
      <c r="AU410" t="s">
        <v>83</v>
      </c>
      <c r="AV410" t="s">
        <v>5088</v>
      </c>
      <c r="AW410" t="str">
        <f>"3413050"</f>
        <v>3413050</v>
      </c>
    </row>
    <row r="411" spans="1:49">
      <c r="A411" t="str">
        <f t="shared" si="16"/>
        <v>23</v>
      </c>
      <c r="B411" t="s">
        <v>4815</v>
      </c>
      <c r="C411" t="str">
        <f>"4660"</f>
        <v>4660</v>
      </c>
      <c r="D411" t="s">
        <v>5089</v>
      </c>
      <c r="F411" t="s">
        <v>65</v>
      </c>
      <c r="G411" t="s">
        <v>223</v>
      </c>
      <c r="H411" t="s">
        <v>5090</v>
      </c>
      <c r="I411" t="s">
        <v>89</v>
      </c>
      <c r="J411" s="2" t="s">
        <v>5091</v>
      </c>
      <c r="K411" t="s">
        <v>5092</v>
      </c>
      <c r="L411" t="s">
        <v>60</v>
      </c>
      <c r="M411" t="s">
        <v>5093</v>
      </c>
      <c r="N411" t="s">
        <v>62</v>
      </c>
      <c r="O411" t="str">
        <f>"08879"</f>
        <v>08879</v>
      </c>
      <c r="P411" t="s">
        <v>5094</v>
      </c>
      <c r="S411" t="s">
        <v>5095</v>
      </c>
      <c r="T411" t="s">
        <v>62</v>
      </c>
      <c r="U411" t="str">
        <f>"08871"</f>
        <v>08871</v>
      </c>
      <c r="W411" t="s">
        <v>5096</v>
      </c>
      <c r="X411" t="s">
        <v>70</v>
      </c>
      <c r="Y411" t="s">
        <v>164</v>
      </c>
      <c r="Z411" t="s">
        <v>2376</v>
      </c>
      <c r="AA411" t="s">
        <v>112</v>
      </c>
      <c r="AB411" t="s">
        <v>77</v>
      </c>
      <c r="AC411" t="s">
        <v>190</v>
      </c>
      <c r="AD411" t="s">
        <v>5097</v>
      </c>
      <c r="AE411" t="s">
        <v>98</v>
      </c>
      <c r="AF411" t="s">
        <v>77</v>
      </c>
      <c r="AG411" t="s">
        <v>1418</v>
      </c>
      <c r="AH411" t="s">
        <v>5098</v>
      </c>
      <c r="AI411" t="s">
        <v>73</v>
      </c>
      <c r="AJ411" t="s">
        <v>54</v>
      </c>
      <c r="AK411" t="s">
        <v>1346</v>
      </c>
      <c r="AL411" t="s">
        <v>5099</v>
      </c>
      <c r="AM411" t="s">
        <v>76</v>
      </c>
      <c r="AN411" t="s">
        <v>77</v>
      </c>
      <c r="AO411" t="s">
        <v>120</v>
      </c>
      <c r="AP411" t="s">
        <v>5100</v>
      </c>
      <c r="AQ411" t="s">
        <v>80</v>
      </c>
      <c r="AR411" t="s">
        <v>77</v>
      </c>
      <c r="AS411" t="s">
        <v>3970</v>
      </c>
      <c r="AT411" t="s">
        <v>5101</v>
      </c>
      <c r="AU411" t="s">
        <v>83</v>
      </c>
      <c r="AV411" t="s">
        <v>5102</v>
      </c>
      <c r="AW411" t="str">
        <f>"3414640"</f>
        <v>3414640</v>
      </c>
    </row>
    <row r="412" spans="1:49">
      <c r="A412" t="str">
        <f t="shared" si="16"/>
        <v>23</v>
      </c>
      <c r="B412" t="s">
        <v>4815</v>
      </c>
      <c r="C412" t="str">
        <f>"4830"</f>
        <v>4830</v>
      </c>
      <c r="D412" t="s">
        <v>5103</v>
      </c>
      <c r="F412" t="s">
        <v>77</v>
      </c>
      <c r="G412" t="s">
        <v>5104</v>
      </c>
      <c r="H412" t="s">
        <v>1156</v>
      </c>
      <c r="I412" t="s">
        <v>89</v>
      </c>
      <c r="J412" s="2" t="s">
        <v>5105</v>
      </c>
      <c r="K412" t="s">
        <v>5106</v>
      </c>
      <c r="L412" t="s">
        <v>60</v>
      </c>
      <c r="M412" t="s">
        <v>5093</v>
      </c>
      <c r="N412" t="s">
        <v>62</v>
      </c>
      <c r="O412" t="s">
        <v>5107</v>
      </c>
      <c r="P412" t="s">
        <v>5106</v>
      </c>
      <c r="S412" t="s">
        <v>5093</v>
      </c>
      <c r="T412" t="s">
        <v>62</v>
      </c>
      <c r="U412" t="str">
        <f>"08879"</f>
        <v>08879</v>
      </c>
      <c r="V412" t="str">
        <f>"1794"</f>
        <v>1794</v>
      </c>
      <c r="W412" t="s">
        <v>5108</v>
      </c>
      <c r="X412" t="s">
        <v>77</v>
      </c>
      <c r="Y412" t="s">
        <v>994</v>
      </c>
      <c r="Z412" t="s">
        <v>5109</v>
      </c>
      <c r="AA412" t="s">
        <v>135</v>
      </c>
      <c r="AB412" t="s">
        <v>65</v>
      </c>
      <c r="AC412" t="s">
        <v>306</v>
      </c>
      <c r="AD412" t="s">
        <v>171</v>
      </c>
      <c r="AE412" t="s">
        <v>115</v>
      </c>
      <c r="AF412" t="s">
        <v>65</v>
      </c>
      <c r="AG412" t="s">
        <v>2433</v>
      </c>
      <c r="AH412" t="s">
        <v>5110</v>
      </c>
      <c r="AI412" t="s">
        <v>73</v>
      </c>
      <c r="AJ412" t="s">
        <v>77</v>
      </c>
      <c r="AK412" t="s">
        <v>373</v>
      </c>
      <c r="AL412" t="s">
        <v>5111</v>
      </c>
      <c r="AM412" t="s">
        <v>76</v>
      </c>
      <c r="AN412" t="s">
        <v>77</v>
      </c>
      <c r="AO412" t="s">
        <v>120</v>
      </c>
      <c r="AP412" t="s">
        <v>5112</v>
      </c>
      <c r="AQ412" t="s">
        <v>80</v>
      </c>
      <c r="AR412" t="s">
        <v>77</v>
      </c>
      <c r="AS412" t="s">
        <v>5104</v>
      </c>
      <c r="AT412" t="s">
        <v>1156</v>
      </c>
      <c r="AU412" t="s">
        <v>83</v>
      </c>
      <c r="AV412" t="s">
        <v>5113</v>
      </c>
      <c r="AW412" t="str">
        <f>"3415120"</f>
        <v>3415120</v>
      </c>
    </row>
    <row r="413" spans="1:49">
      <c r="A413" t="str">
        <f t="shared" si="16"/>
        <v>23</v>
      </c>
      <c r="B413" t="s">
        <v>4815</v>
      </c>
      <c r="C413" t="str">
        <f>"4860"</f>
        <v>4860</v>
      </c>
      <c r="D413" t="s">
        <v>5114</v>
      </c>
      <c r="F413" t="s">
        <v>77</v>
      </c>
      <c r="G413" t="s">
        <v>436</v>
      </c>
      <c r="H413" t="s">
        <v>5115</v>
      </c>
      <c r="I413" t="s">
        <v>89</v>
      </c>
      <c r="J413" s="2" t="s">
        <v>5116</v>
      </c>
      <c r="K413" t="s">
        <v>5117</v>
      </c>
      <c r="L413" t="s">
        <v>60</v>
      </c>
      <c r="M413" t="s">
        <v>5044</v>
      </c>
      <c r="N413" t="s">
        <v>62</v>
      </c>
      <c r="O413" t="str">
        <f>"08902"</f>
        <v>08902</v>
      </c>
      <c r="P413" t="s">
        <v>5118</v>
      </c>
      <c r="S413" t="s">
        <v>5119</v>
      </c>
      <c r="T413" t="s">
        <v>62</v>
      </c>
      <c r="U413" t="str">
        <f>"08852"</f>
        <v>08852</v>
      </c>
      <c r="W413" t="s">
        <v>5120</v>
      </c>
      <c r="X413" t="s">
        <v>77</v>
      </c>
      <c r="Y413" t="s">
        <v>190</v>
      </c>
      <c r="Z413" t="s">
        <v>5121</v>
      </c>
      <c r="AA413" t="s">
        <v>135</v>
      </c>
      <c r="AB413" t="s">
        <v>77</v>
      </c>
      <c r="AC413" t="s">
        <v>5122</v>
      </c>
      <c r="AD413" t="s">
        <v>4817</v>
      </c>
      <c r="AE413" t="s">
        <v>587</v>
      </c>
      <c r="AF413" t="s">
        <v>70</v>
      </c>
      <c r="AG413" t="s">
        <v>3392</v>
      </c>
      <c r="AH413" t="s">
        <v>5123</v>
      </c>
      <c r="AI413" t="s">
        <v>73</v>
      </c>
      <c r="AJ413" t="s">
        <v>70</v>
      </c>
      <c r="AK413" t="s">
        <v>155</v>
      </c>
      <c r="AL413" t="s">
        <v>5124</v>
      </c>
      <c r="AM413" t="s">
        <v>76</v>
      </c>
      <c r="AN413" t="s">
        <v>70</v>
      </c>
      <c r="AO413" t="s">
        <v>140</v>
      </c>
      <c r="AP413" t="s">
        <v>2523</v>
      </c>
      <c r="AQ413" t="s">
        <v>80</v>
      </c>
      <c r="AR413" t="s">
        <v>77</v>
      </c>
      <c r="AS413" t="s">
        <v>478</v>
      </c>
      <c r="AT413" t="s">
        <v>5125</v>
      </c>
      <c r="AU413" t="s">
        <v>83</v>
      </c>
      <c r="AV413" t="s">
        <v>5126</v>
      </c>
      <c r="AW413" t="str">
        <f>"3415210"</f>
        <v>3415210</v>
      </c>
    </row>
    <row r="414" spans="1:49">
      <c r="A414" t="str">
        <f t="shared" si="16"/>
        <v>23</v>
      </c>
      <c r="B414" t="s">
        <v>4815</v>
      </c>
      <c r="C414" t="str">
        <f>"4910"</f>
        <v>4910</v>
      </c>
      <c r="D414" t="s">
        <v>5127</v>
      </c>
      <c r="F414" t="s">
        <v>65</v>
      </c>
      <c r="G414" t="s">
        <v>5128</v>
      </c>
      <c r="H414" t="s">
        <v>5129</v>
      </c>
      <c r="I414" t="s">
        <v>57</v>
      </c>
      <c r="J414" s="2" t="s">
        <v>5130</v>
      </c>
      <c r="K414" t="s">
        <v>5131</v>
      </c>
      <c r="L414" t="s">
        <v>60</v>
      </c>
      <c r="M414" t="s">
        <v>5132</v>
      </c>
      <c r="N414" t="s">
        <v>62</v>
      </c>
      <c r="O414" t="str">
        <f>"07080"</f>
        <v>07080</v>
      </c>
      <c r="P414" t="s">
        <v>5131</v>
      </c>
      <c r="S414" t="s">
        <v>5132</v>
      </c>
      <c r="T414" t="s">
        <v>62</v>
      </c>
      <c r="U414" t="str">
        <f>"07080"</f>
        <v>07080</v>
      </c>
      <c r="W414" t="s">
        <v>5133</v>
      </c>
      <c r="X414" t="s">
        <v>77</v>
      </c>
      <c r="Y414" t="s">
        <v>5134</v>
      </c>
      <c r="Z414" t="s">
        <v>5135</v>
      </c>
      <c r="AA414" t="s">
        <v>135</v>
      </c>
      <c r="AB414" t="s">
        <v>77</v>
      </c>
      <c r="AC414" t="s">
        <v>422</v>
      </c>
      <c r="AD414" t="s">
        <v>3035</v>
      </c>
      <c r="AE414" t="s">
        <v>98</v>
      </c>
      <c r="AF414" t="s">
        <v>70</v>
      </c>
      <c r="AG414" t="s">
        <v>838</v>
      </c>
      <c r="AH414" t="s">
        <v>5136</v>
      </c>
      <c r="AI414" t="s">
        <v>73</v>
      </c>
      <c r="AJ414" t="s">
        <v>54</v>
      </c>
      <c r="AK414" t="s">
        <v>838</v>
      </c>
      <c r="AL414" t="s">
        <v>5136</v>
      </c>
      <c r="AM414" t="s">
        <v>76</v>
      </c>
      <c r="AN414" t="s">
        <v>77</v>
      </c>
      <c r="AO414" t="s">
        <v>120</v>
      </c>
      <c r="AP414" t="s">
        <v>4495</v>
      </c>
      <c r="AQ414" t="s">
        <v>80</v>
      </c>
      <c r="AR414" t="s">
        <v>65</v>
      </c>
      <c r="AS414" t="s">
        <v>5128</v>
      </c>
      <c r="AT414" t="s">
        <v>5129</v>
      </c>
      <c r="AU414" t="s">
        <v>83</v>
      </c>
      <c r="AV414" t="s">
        <v>5137</v>
      </c>
      <c r="AW414" t="str">
        <f>"3415360"</f>
        <v>3415360</v>
      </c>
    </row>
    <row r="415" spans="1:49">
      <c r="A415" t="str">
        <f t="shared" si="16"/>
        <v>23</v>
      </c>
      <c r="B415" t="s">
        <v>4815</v>
      </c>
      <c r="C415" t="str">
        <f>"4920"</f>
        <v>4920</v>
      </c>
      <c r="D415" t="s">
        <v>5138</v>
      </c>
      <c r="F415" t="s">
        <v>70</v>
      </c>
      <c r="G415" t="s">
        <v>5139</v>
      </c>
      <c r="H415" t="s">
        <v>5140</v>
      </c>
      <c r="I415" t="s">
        <v>57</v>
      </c>
      <c r="J415" s="2" t="s">
        <v>5141</v>
      </c>
      <c r="K415" t="s">
        <v>5142</v>
      </c>
      <c r="L415" t="s">
        <v>60</v>
      </c>
      <c r="M415" t="s">
        <v>5143</v>
      </c>
      <c r="N415" t="s">
        <v>62</v>
      </c>
      <c r="O415" t="str">
        <f>"08882"</f>
        <v>08882</v>
      </c>
      <c r="P415" t="s">
        <v>5142</v>
      </c>
      <c r="S415" t="s">
        <v>5143</v>
      </c>
      <c r="T415" t="s">
        <v>62</v>
      </c>
      <c r="U415" t="str">
        <f>"08882"</f>
        <v>08882</v>
      </c>
      <c r="W415" t="s">
        <v>5144</v>
      </c>
      <c r="X415" t="s">
        <v>77</v>
      </c>
      <c r="Y415" t="s">
        <v>892</v>
      </c>
      <c r="Z415" t="s">
        <v>5145</v>
      </c>
      <c r="AA415" t="s">
        <v>135</v>
      </c>
      <c r="AB415" t="s">
        <v>70</v>
      </c>
      <c r="AC415" t="s">
        <v>397</v>
      </c>
      <c r="AD415" t="s">
        <v>5146</v>
      </c>
      <c r="AE415" t="s">
        <v>98</v>
      </c>
      <c r="AF415" t="s">
        <v>70</v>
      </c>
      <c r="AG415" t="s">
        <v>397</v>
      </c>
      <c r="AH415" t="s">
        <v>5146</v>
      </c>
      <c r="AI415" t="s">
        <v>73</v>
      </c>
      <c r="AJ415" t="s">
        <v>70</v>
      </c>
      <c r="AK415" t="s">
        <v>5147</v>
      </c>
      <c r="AL415" t="s">
        <v>5148</v>
      </c>
      <c r="AM415" t="s">
        <v>76</v>
      </c>
      <c r="AR415" t="s">
        <v>77</v>
      </c>
      <c r="AS415" t="s">
        <v>5149</v>
      </c>
      <c r="AT415" t="s">
        <v>5150</v>
      </c>
      <c r="AU415" t="s">
        <v>83</v>
      </c>
      <c r="AV415" t="s">
        <v>5151</v>
      </c>
      <c r="AW415" t="str">
        <f>"3415390"</f>
        <v>3415390</v>
      </c>
    </row>
    <row r="416" spans="1:49">
      <c r="A416" t="str">
        <f t="shared" si="16"/>
        <v>23</v>
      </c>
      <c r="B416" t="s">
        <v>4815</v>
      </c>
      <c r="C416" t="str">
        <f>"4970"</f>
        <v>4970</v>
      </c>
      <c r="D416" t="s">
        <v>5152</v>
      </c>
      <c r="F416" t="s">
        <v>77</v>
      </c>
      <c r="G416" t="s">
        <v>1773</v>
      </c>
      <c r="H416" t="s">
        <v>5153</v>
      </c>
      <c r="I416" t="s">
        <v>89</v>
      </c>
      <c r="J416" s="2" t="s">
        <v>5154</v>
      </c>
      <c r="K416" t="s">
        <v>5155</v>
      </c>
      <c r="L416" t="s">
        <v>60</v>
      </c>
      <c r="M416" t="s">
        <v>5156</v>
      </c>
      <c r="N416" t="s">
        <v>62</v>
      </c>
      <c r="O416" t="str">
        <f>"08884"</f>
        <v>08884</v>
      </c>
      <c r="P416" t="s">
        <v>5155</v>
      </c>
      <c r="S416" t="s">
        <v>5156</v>
      </c>
      <c r="T416" t="s">
        <v>62</v>
      </c>
      <c r="U416" t="str">
        <f>"08884"</f>
        <v>08884</v>
      </c>
      <c r="W416" t="s">
        <v>5157</v>
      </c>
      <c r="X416" t="s">
        <v>54</v>
      </c>
      <c r="Y416" t="s">
        <v>5158</v>
      </c>
      <c r="Z416" t="s">
        <v>185</v>
      </c>
      <c r="AA416" t="s">
        <v>135</v>
      </c>
      <c r="AB416" t="s">
        <v>54</v>
      </c>
      <c r="AC416" t="s">
        <v>957</v>
      </c>
      <c r="AD416" t="s">
        <v>5159</v>
      </c>
      <c r="AE416" t="s">
        <v>98</v>
      </c>
      <c r="AF416" t="s">
        <v>54</v>
      </c>
      <c r="AG416" t="s">
        <v>155</v>
      </c>
      <c r="AH416" t="s">
        <v>5160</v>
      </c>
      <c r="AI416" t="s">
        <v>73</v>
      </c>
      <c r="AJ416" t="s">
        <v>70</v>
      </c>
      <c r="AK416" t="s">
        <v>71</v>
      </c>
      <c r="AL416" t="s">
        <v>5161</v>
      </c>
      <c r="AM416" t="s">
        <v>76</v>
      </c>
      <c r="AV416" t="s">
        <v>5162</v>
      </c>
      <c r="AW416" t="str">
        <f>"3415540"</f>
        <v>3415540</v>
      </c>
    </row>
    <row r="417" spans="1:49">
      <c r="A417" t="str">
        <f t="shared" si="16"/>
        <v>23</v>
      </c>
      <c r="B417" t="s">
        <v>4815</v>
      </c>
      <c r="C417" t="str">
        <f>"5850"</f>
        <v>5850</v>
      </c>
      <c r="D417" t="s">
        <v>5163</v>
      </c>
      <c r="F417" t="s">
        <v>65</v>
      </c>
      <c r="G417" t="s">
        <v>873</v>
      </c>
      <c r="H417" t="s">
        <v>5164</v>
      </c>
      <c r="I417" t="s">
        <v>89</v>
      </c>
      <c r="J417" s="2" t="s">
        <v>5165</v>
      </c>
      <c r="K417" t="s">
        <v>5166</v>
      </c>
      <c r="L417" t="s">
        <v>5167</v>
      </c>
      <c r="M417" t="s">
        <v>5168</v>
      </c>
      <c r="N417" t="s">
        <v>62</v>
      </c>
      <c r="O417" t="str">
        <f>"07095"</f>
        <v>07095</v>
      </c>
      <c r="P417" t="s">
        <v>5166</v>
      </c>
      <c r="Q417" t="s">
        <v>5169</v>
      </c>
      <c r="S417" t="s">
        <v>5168</v>
      </c>
      <c r="T417" t="s">
        <v>62</v>
      </c>
      <c r="U417" t="str">
        <f>"07095"</f>
        <v>07095</v>
      </c>
      <c r="W417" t="s">
        <v>5170</v>
      </c>
      <c r="X417" t="s">
        <v>77</v>
      </c>
      <c r="Y417" t="s">
        <v>212</v>
      </c>
      <c r="Z417" t="s">
        <v>5171</v>
      </c>
      <c r="AA417" t="s">
        <v>68</v>
      </c>
      <c r="AB417" t="s">
        <v>70</v>
      </c>
      <c r="AC417" t="s">
        <v>1207</v>
      </c>
      <c r="AD417" t="s">
        <v>5172</v>
      </c>
      <c r="AE417" t="s">
        <v>98</v>
      </c>
      <c r="AF417" t="s">
        <v>77</v>
      </c>
      <c r="AG417" t="s">
        <v>687</v>
      </c>
      <c r="AH417" t="s">
        <v>5173</v>
      </c>
      <c r="AI417" t="s">
        <v>73</v>
      </c>
      <c r="AJ417" t="s">
        <v>70</v>
      </c>
      <c r="AK417" t="s">
        <v>2480</v>
      </c>
      <c r="AL417" t="s">
        <v>5174</v>
      </c>
      <c r="AM417" t="s">
        <v>76</v>
      </c>
      <c r="AN417" t="s">
        <v>77</v>
      </c>
      <c r="AO417" t="s">
        <v>287</v>
      </c>
      <c r="AP417" t="s">
        <v>5175</v>
      </c>
      <c r="AQ417" t="s">
        <v>80</v>
      </c>
      <c r="AR417" t="s">
        <v>65</v>
      </c>
      <c r="AS417" t="s">
        <v>358</v>
      </c>
      <c r="AT417" t="s">
        <v>5176</v>
      </c>
      <c r="AU417" t="s">
        <v>83</v>
      </c>
      <c r="AV417" t="s">
        <v>5177</v>
      </c>
      <c r="AW417" t="str">
        <f>"3418120"</f>
        <v>3418120</v>
      </c>
    </row>
    <row r="418" spans="1:49">
      <c r="A418" t="str">
        <f>"80"</f>
        <v>80</v>
      </c>
      <c r="B418" t="s">
        <v>5178</v>
      </c>
      <c r="C418" t="str">
        <f>"6010"</f>
        <v>6010</v>
      </c>
      <c r="D418" t="s">
        <v>5179</v>
      </c>
      <c r="E418" t="str">
        <f>"910"</f>
        <v>910</v>
      </c>
      <c r="F418" t="s">
        <v>77</v>
      </c>
      <c r="G418" t="s">
        <v>2929</v>
      </c>
      <c r="H418" t="s">
        <v>5180</v>
      </c>
      <c r="I418" t="s">
        <v>128</v>
      </c>
      <c r="J418" s="2" t="s">
        <v>5181</v>
      </c>
      <c r="K418" t="s">
        <v>5182</v>
      </c>
      <c r="L418" t="s">
        <v>60</v>
      </c>
      <c r="M418" t="s">
        <v>5183</v>
      </c>
      <c r="N418" t="s">
        <v>62</v>
      </c>
      <c r="O418" t="str">
        <f>"07719"</f>
        <v>07719</v>
      </c>
      <c r="P418" t="s">
        <v>5182</v>
      </c>
      <c r="S418" t="s">
        <v>5183</v>
      </c>
      <c r="T418" t="s">
        <v>62</v>
      </c>
      <c r="U418" t="str">
        <f>"07719"</f>
        <v>07719</v>
      </c>
      <c r="W418" t="s">
        <v>5184</v>
      </c>
      <c r="X418" t="s">
        <v>77</v>
      </c>
      <c r="Y418" t="s">
        <v>190</v>
      </c>
      <c r="Z418" t="s">
        <v>3387</v>
      </c>
      <c r="AA418" t="s">
        <v>135</v>
      </c>
      <c r="AB418" t="s">
        <v>54</v>
      </c>
      <c r="AC418" t="s">
        <v>5185</v>
      </c>
      <c r="AD418" t="s">
        <v>2689</v>
      </c>
      <c r="AE418" t="s">
        <v>587</v>
      </c>
      <c r="AF418" t="s">
        <v>77</v>
      </c>
      <c r="AG418" t="s">
        <v>2929</v>
      </c>
      <c r="AH418" t="s">
        <v>5180</v>
      </c>
      <c r="AI418" t="s">
        <v>73</v>
      </c>
      <c r="AJ418" t="s">
        <v>77</v>
      </c>
      <c r="AK418" t="s">
        <v>190</v>
      </c>
      <c r="AL418" t="s">
        <v>3387</v>
      </c>
      <c r="AM418" t="s">
        <v>76</v>
      </c>
      <c r="AR418" t="s">
        <v>77</v>
      </c>
      <c r="AS418" t="s">
        <v>190</v>
      </c>
      <c r="AT418" t="s">
        <v>3387</v>
      </c>
      <c r="AU418" t="s">
        <v>83</v>
      </c>
      <c r="AV418" t="s">
        <v>5186</v>
      </c>
      <c r="AW418" t="str">
        <f>"3400048"</f>
        <v>3400048</v>
      </c>
    </row>
    <row r="419" spans="1:49">
      <c r="A419" t="str">
        <f t="shared" ref="A419:A426" si="17">"25"</f>
        <v>25</v>
      </c>
      <c r="B419" t="s">
        <v>5178</v>
      </c>
      <c r="C419" t="str">
        <f>"0050"</f>
        <v>0050</v>
      </c>
      <c r="D419" t="s">
        <v>5187</v>
      </c>
      <c r="K419" t="s">
        <v>5188</v>
      </c>
      <c r="L419" t="s">
        <v>60</v>
      </c>
      <c r="M419" t="s">
        <v>5189</v>
      </c>
      <c r="N419" t="s">
        <v>62</v>
      </c>
      <c r="O419" t="str">
        <f>"07711"</f>
        <v>07711</v>
      </c>
      <c r="P419" t="s">
        <v>5188</v>
      </c>
      <c r="S419" t="s">
        <v>5189</v>
      </c>
      <c r="T419" t="s">
        <v>62</v>
      </c>
      <c r="U419" t="str">
        <f>"07711"</f>
        <v>07711</v>
      </c>
      <c r="X419" t="s">
        <v>77</v>
      </c>
      <c r="Y419" t="s">
        <v>5190</v>
      </c>
      <c r="Z419" t="s">
        <v>5191</v>
      </c>
      <c r="AA419" t="s">
        <v>135</v>
      </c>
      <c r="AV419" t="s">
        <v>5192</v>
      </c>
    </row>
    <row r="420" spans="1:49">
      <c r="A420" t="str">
        <f t="shared" si="17"/>
        <v>25</v>
      </c>
      <c r="B420" t="s">
        <v>5178</v>
      </c>
      <c r="C420" t="str">
        <f>"0100"</f>
        <v>0100</v>
      </c>
      <c r="D420" t="s">
        <v>5193</v>
      </c>
      <c r="F420" t="s">
        <v>54</v>
      </c>
      <c r="G420" t="s">
        <v>5194</v>
      </c>
      <c r="H420" t="s">
        <v>1954</v>
      </c>
      <c r="I420" t="s">
        <v>89</v>
      </c>
      <c r="J420" s="2" t="s">
        <v>5195</v>
      </c>
      <c r="K420" t="s">
        <v>5196</v>
      </c>
      <c r="L420" t="s">
        <v>60</v>
      </c>
      <c r="M420" t="s">
        <v>5197</v>
      </c>
      <c r="N420" t="s">
        <v>62</v>
      </c>
      <c r="O420" t="str">
        <f>"07712"</f>
        <v>07712</v>
      </c>
      <c r="P420" t="s">
        <v>5196</v>
      </c>
      <c r="S420" t="s">
        <v>5197</v>
      </c>
      <c r="T420" t="s">
        <v>62</v>
      </c>
      <c r="U420" t="str">
        <f>"07712"</f>
        <v>07712</v>
      </c>
      <c r="W420" t="s">
        <v>5198</v>
      </c>
      <c r="X420" t="s">
        <v>77</v>
      </c>
      <c r="Y420" t="s">
        <v>4240</v>
      </c>
      <c r="Z420" t="s">
        <v>5199</v>
      </c>
      <c r="AA420" t="s">
        <v>112</v>
      </c>
      <c r="AB420" t="s">
        <v>77</v>
      </c>
      <c r="AC420" t="s">
        <v>5200</v>
      </c>
      <c r="AD420" t="s">
        <v>2002</v>
      </c>
      <c r="AE420" t="s">
        <v>98</v>
      </c>
      <c r="AF420" t="s">
        <v>65</v>
      </c>
      <c r="AG420" t="s">
        <v>5201</v>
      </c>
      <c r="AH420" t="s">
        <v>593</v>
      </c>
      <c r="AI420" t="s">
        <v>73</v>
      </c>
      <c r="AJ420" t="s">
        <v>77</v>
      </c>
      <c r="AK420" t="s">
        <v>1512</v>
      </c>
      <c r="AL420" t="s">
        <v>2486</v>
      </c>
      <c r="AM420" t="s">
        <v>76</v>
      </c>
      <c r="AR420" t="s">
        <v>77</v>
      </c>
      <c r="AS420" t="s">
        <v>4240</v>
      </c>
      <c r="AT420" t="s">
        <v>5199</v>
      </c>
      <c r="AU420" t="s">
        <v>83</v>
      </c>
      <c r="AV420" t="s">
        <v>5202</v>
      </c>
      <c r="AW420" t="str">
        <f>"3400930"</f>
        <v>3400930</v>
      </c>
    </row>
    <row r="421" spans="1:49">
      <c r="A421" t="str">
        <f t="shared" si="17"/>
        <v>25</v>
      </c>
      <c r="B421" t="s">
        <v>5178</v>
      </c>
      <c r="C421" t="str">
        <f>"0130"</f>
        <v>0130</v>
      </c>
      <c r="D421" t="s">
        <v>5203</v>
      </c>
      <c r="F421" t="s">
        <v>65</v>
      </c>
      <c r="G421" t="s">
        <v>541</v>
      </c>
      <c r="H421" t="s">
        <v>5204</v>
      </c>
      <c r="I421" t="s">
        <v>89</v>
      </c>
      <c r="J421" s="2" t="s">
        <v>5205</v>
      </c>
      <c r="K421" t="s">
        <v>5206</v>
      </c>
      <c r="L421" t="s">
        <v>60</v>
      </c>
      <c r="M421" t="s">
        <v>5207</v>
      </c>
      <c r="N421" t="s">
        <v>62</v>
      </c>
      <c r="O421" t="str">
        <f>"07716"</f>
        <v>07716</v>
      </c>
      <c r="P421" t="s">
        <v>5206</v>
      </c>
      <c r="S421" t="s">
        <v>5207</v>
      </c>
      <c r="T421" t="s">
        <v>62</v>
      </c>
      <c r="U421" t="str">
        <f>"07716"</f>
        <v>07716</v>
      </c>
      <c r="W421" t="s">
        <v>5208</v>
      </c>
      <c r="X421" t="s">
        <v>54</v>
      </c>
      <c r="Y421" t="s">
        <v>651</v>
      </c>
      <c r="Z421" t="s">
        <v>5209</v>
      </c>
      <c r="AA421" t="s">
        <v>135</v>
      </c>
      <c r="AB421" t="s">
        <v>77</v>
      </c>
      <c r="AC421" t="s">
        <v>2564</v>
      </c>
      <c r="AD421" t="s">
        <v>5210</v>
      </c>
      <c r="AE421" t="s">
        <v>69</v>
      </c>
      <c r="AF421" t="s">
        <v>54</v>
      </c>
      <c r="AG421" t="s">
        <v>1666</v>
      </c>
      <c r="AH421" t="s">
        <v>5211</v>
      </c>
      <c r="AI421" t="s">
        <v>73</v>
      </c>
      <c r="AJ421" t="s">
        <v>54</v>
      </c>
      <c r="AK421" t="s">
        <v>1666</v>
      </c>
      <c r="AL421" t="s">
        <v>5211</v>
      </c>
      <c r="AM421" t="s">
        <v>76</v>
      </c>
      <c r="AN421" t="s">
        <v>77</v>
      </c>
      <c r="AO421" t="s">
        <v>3153</v>
      </c>
      <c r="AP421" t="s">
        <v>454</v>
      </c>
      <c r="AQ421" t="s">
        <v>80</v>
      </c>
      <c r="AR421" t="s">
        <v>54</v>
      </c>
      <c r="AS421" t="s">
        <v>1666</v>
      </c>
      <c r="AT421" t="s">
        <v>5211</v>
      </c>
      <c r="AU421" t="s">
        <v>83</v>
      </c>
      <c r="AV421" t="s">
        <v>5212</v>
      </c>
      <c r="AW421" t="str">
        <f>"3401020"</f>
        <v>3401020</v>
      </c>
    </row>
    <row r="422" spans="1:49">
      <c r="A422" t="str">
        <f t="shared" si="17"/>
        <v>25</v>
      </c>
      <c r="B422" t="s">
        <v>5178</v>
      </c>
      <c r="C422" t="str">
        <f>"0180"</f>
        <v>0180</v>
      </c>
      <c r="D422" t="s">
        <v>5213</v>
      </c>
      <c r="F422" t="s">
        <v>77</v>
      </c>
      <c r="G422" t="s">
        <v>5214</v>
      </c>
      <c r="H422" t="s">
        <v>5215</v>
      </c>
      <c r="I422" t="s">
        <v>57</v>
      </c>
      <c r="J422" s="2" t="s">
        <v>5216</v>
      </c>
      <c r="K422" t="s">
        <v>5217</v>
      </c>
      <c r="L422" t="s">
        <v>60</v>
      </c>
      <c r="M422" t="s">
        <v>5218</v>
      </c>
      <c r="N422" t="s">
        <v>62</v>
      </c>
      <c r="O422" t="str">
        <f>"07717"</f>
        <v>07717</v>
      </c>
      <c r="P422" t="s">
        <v>5217</v>
      </c>
      <c r="S422" t="s">
        <v>5218</v>
      </c>
      <c r="T422" t="s">
        <v>62</v>
      </c>
      <c r="U422" t="str">
        <f>"07717"</f>
        <v>07717</v>
      </c>
      <c r="W422" t="s">
        <v>5219</v>
      </c>
      <c r="X422" t="s">
        <v>54</v>
      </c>
      <c r="Y422" t="s">
        <v>2012</v>
      </c>
      <c r="Z422" t="s">
        <v>594</v>
      </c>
      <c r="AA422" t="s">
        <v>112</v>
      </c>
      <c r="AB422" t="s">
        <v>70</v>
      </c>
      <c r="AC422" t="s">
        <v>5220</v>
      </c>
      <c r="AD422" t="s">
        <v>5221</v>
      </c>
      <c r="AE422" t="s">
        <v>98</v>
      </c>
      <c r="AF422" t="s">
        <v>54</v>
      </c>
      <c r="AG422" t="s">
        <v>3020</v>
      </c>
      <c r="AH422" t="s">
        <v>5221</v>
      </c>
      <c r="AI422" t="s">
        <v>73</v>
      </c>
      <c r="AJ422" t="s">
        <v>70</v>
      </c>
      <c r="AK422" t="s">
        <v>5220</v>
      </c>
      <c r="AL422" t="s">
        <v>5221</v>
      </c>
      <c r="AM422" t="s">
        <v>76</v>
      </c>
      <c r="AN422" t="s">
        <v>77</v>
      </c>
      <c r="AO422" t="s">
        <v>287</v>
      </c>
      <c r="AP422" t="s">
        <v>5222</v>
      </c>
      <c r="AQ422" t="s">
        <v>80</v>
      </c>
      <c r="AR422" t="s">
        <v>77</v>
      </c>
      <c r="AS422" t="s">
        <v>287</v>
      </c>
      <c r="AT422" t="s">
        <v>5222</v>
      </c>
      <c r="AU422" t="s">
        <v>83</v>
      </c>
      <c r="AV422" t="s">
        <v>5223</v>
      </c>
      <c r="AW422" t="str">
        <f>"3401140"</f>
        <v>3401140</v>
      </c>
    </row>
    <row r="423" spans="1:49">
      <c r="A423" t="str">
        <f t="shared" si="17"/>
        <v>25</v>
      </c>
      <c r="B423" t="s">
        <v>5178</v>
      </c>
      <c r="C423" t="str">
        <f>"0225"</f>
        <v>0225</v>
      </c>
      <c r="D423" t="s">
        <v>5224</v>
      </c>
      <c r="F423" t="s">
        <v>65</v>
      </c>
      <c r="G423" t="s">
        <v>1748</v>
      </c>
      <c r="H423" t="s">
        <v>5225</v>
      </c>
      <c r="I423" t="s">
        <v>1518</v>
      </c>
      <c r="J423" s="2" t="s">
        <v>5226</v>
      </c>
      <c r="K423" t="s">
        <v>5227</v>
      </c>
      <c r="L423" t="s">
        <v>60</v>
      </c>
      <c r="M423" t="s">
        <v>5228</v>
      </c>
      <c r="N423" t="s">
        <v>62</v>
      </c>
      <c r="O423" t="str">
        <f>"07712"</f>
        <v>07712</v>
      </c>
      <c r="P423" t="s">
        <v>5227</v>
      </c>
      <c r="S423" t="s">
        <v>5228</v>
      </c>
      <c r="T423" t="s">
        <v>62</v>
      </c>
      <c r="U423" t="str">
        <f>"07712"</f>
        <v>07712</v>
      </c>
      <c r="W423" t="s">
        <v>5229</v>
      </c>
      <c r="X423" t="s">
        <v>77</v>
      </c>
      <c r="Y423" t="s">
        <v>287</v>
      </c>
      <c r="Z423" t="s">
        <v>5230</v>
      </c>
      <c r="AA423" t="s">
        <v>135</v>
      </c>
      <c r="AB423" t="s">
        <v>54</v>
      </c>
      <c r="AC423" t="s">
        <v>5231</v>
      </c>
      <c r="AD423" t="s">
        <v>5232</v>
      </c>
      <c r="AE423" t="s">
        <v>98</v>
      </c>
      <c r="AF423" t="s">
        <v>54</v>
      </c>
      <c r="AG423" t="s">
        <v>5231</v>
      </c>
      <c r="AH423" t="s">
        <v>5232</v>
      </c>
      <c r="AI423" t="s">
        <v>73</v>
      </c>
      <c r="AJ423" t="s">
        <v>54</v>
      </c>
      <c r="AK423" t="s">
        <v>447</v>
      </c>
      <c r="AL423" t="s">
        <v>1104</v>
      </c>
      <c r="AM423" t="s">
        <v>76</v>
      </c>
      <c r="AN423" t="s">
        <v>77</v>
      </c>
      <c r="AO423" t="s">
        <v>539</v>
      </c>
      <c r="AP423" t="s">
        <v>5233</v>
      </c>
      <c r="AQ423" t="s">
        <v>80</v>
      </c>
      <c r="AR423" t="s">
        <v>54</v>
      </c>
      <c r="AS423" t="s">
        <v>447</v>
      </c>
      <c r="AT423" t="s">
        <v>1104</v>
      </c>
      <c r="AU423" t="s">
        <v>83</v>
      </c>
      <c r="AV423" t="s">
        <v>5234</v>
      </c>
      <c r="AW423" t="str">
        <f>"3400069"</f>
        <v>3400069</v>
      </c>
    </row>
    <row r="424" spans="1:49">
      <c r="A424" t="str">
        <f t="shared" si="17"/>
        <v>25</v>
      </c>
      <c r="B424" t="s">
        <v>5178</v>
      </c>
      <c r="C424" t="str">
        <f>"0270"</f>
        <v>0270</v>
      </c>
      <c r="D424" t="s">
        <v>5235</v>
      </c>
      <c r="F424" t="s">
        <v>77</v>
      </c>
      <c r="G424" t="s">
        <v>190</v>
      </c>
      <c r="H424" t="s">
        <v>5236</v>
      </c>
      <c r="I424" t="s">
        <v>89</v>
      </c>
      <c r="J424" s="2" t="s">
        <v>5237</v>
      </c>
      <c r="K424" t="s">
        <v>5238</v>
      </c>
      <c r="L424" t="s">
        <v>60</v>
      </c>
      <c r="M424" t="s">
        <v>5239</v>
      </c>
      <c r="N424" t="s">
        <v>62</v>
      </c>
      <c r="O424" t="str">
        <f>"07719"</f>
        <v>07719</v>
      </c>
      <c r="P424" t="s">
        <v>5238</v>
      </c>
      <c r="S424" t="s">
        <v>5239</v>
      </c>
      <c r="T424" t="s">
        <v>62</v>
      </c>
      <c r="U424" t="str">
        <f>"07719"</f>
        <v>07719</v>
      </c>
      <c r="W424" t="s">
        <v>5240</v>
      </c>
      <c r="X424" t="s">
        <v>77</v>
      </c>
      <c r="Y424" t="s">
        <v>120</v>
      </c>
      <c r="Z424" t="s">
        <v>5241</v>
      </c>
      <c r="AA424" t="s">
        <v>112</v>
      </c>
      <c r="AB424" t="s">
        <v>54</v>
      </c>
      <c r="AC424" t="s">
        <v>71</v>
      </c>
      <c r="AD424" t="s">
        <v>5242</v>
      </c>
      <c r="AE424" t="s">
        <v>69</v>
      </c>
      <c r="AF424" t="s">
        <v>54</v>
      </c>
      <c r="AG424" t="s">
        <v>2480</v>
      </c>
      <c r="AH424" t="s">
        <v>5243</v>
      </c>
      <c r="AI424" t="s">
        <v>73</v>
      </c>
      <c r="AJ424" t="s">
        <v>54</v>
      </c>
      <c r="AK424" t="s">
        <v>2480</v>
      </c>
      <c r="AL424" t="s">
        <v>5243</v>
      </c>
      <c r="AM424" t="s">
        <v>76</v>
      </c>
      <c r="AN424" t="s">
        <v>77</v>
      </c>
      <c r="AO424" t="s">
        <v>367</v>
      </c>
      <c r="AP424" t="s">
        <v>1469</v>
      </c>
      <c r="AQ424" t="s">
        <v>80</v>
      </c>
      <c r="AR424" t="s">
        <v>77</v>
      </c>
      <c r="AS424" t="s">
        <v>190</v>
      </c>
      <c r="AT424" t="s">
        <v>5236</v>
      </c>
      <c r="AU424" t="s">
        <v>83</v>
      </c>
      <c r="AV424" t="s">
        <v>5244</v>
      </c>
      <c r="AW424" t="str">
        <f>"3401410"</f>
        <v>3401410</v>
      </c>
    </row>
    <row r="425" spans="1:49">
      <c r="A425" t="str">
        <f t="shared" si="17"/>
        <v>25</v>
      </c>
      <c r="B425" t="s">
        <v>5178</v>
      </c>
      <c r="C425" t="str">
        <f>"0500"</f>
        <v>0500</v>
      </c>
      <c r="D425" t="s">
        <v>5245</v>
      </c>
      <c r="F425" t="s">
        <v>65</v>
      </c>
      <c r="G425" t="s">
        <v>78</v>
      </c>
      <c r="H425" t="s">
        <v>5246</v>
      </c>
      <c r="I425" t="s">
        <v>89</v>
      </c>
      <c r="J425" s="2" t="s">
        <v>5247</v>
      </c>
      <c r="K425" t="s">
        <v>5248</v>
      </c>
      <c r="L425" t="s">
        <v>60</v>
      </c>
      <c r="M425" t="s">
        <v>5249</v>
      </c>
      <c r="N425" t="s">
        <v>62</v>
      </c>
      <c r="O425" t="s">
        <v>5250</v>
      </c>
      <c r="P425" t="s">
        <v>5248</v>
      </c>
      <c r="S425" t="s">
        <v>5249</v>
      </c>
      <c r="T425" t="s">
        <v>62</v>
      </c>
      <c r="U425" t="str">
        <f>"07720"</f>
        <v>07720</v>
      </c>
      <c r="V425" t="str">
        <f>"1311"</f>
        <v>1311</v>
      </c>
      <c r="W425" t="s">
        <v>5251</v>
      </c>
      <c r="X425" t="s">
        <v>77</v>
      </c>
      <c r="Y425" t="s">
        <v>190</v>
      </c>
      <c r="Z425" t="s">
        <v>5252</v>
      </c>
      <c r="AA425" t="s">
        <v>135</v>
      </c>
      <c r="AB425" t="s">
        <v>54</v>
      </c>
      <c r="AC425" t="s">
        <v>521</v>
      </c>
      <c r="AD425" t="s">
        <v>5253</v>
      </c>
      <c r="AE425" t="s">
        <v>69</v>
      </c>
      <c r="AF425" t="s">
        <v>54</v>
      </c>
      <c r="AG425" t="s">
        <v>521</v>
      </c>
      <c r="AH425" t="s">
        <v>5253</v>
      </c>
      <c r="AI425" t="s">
        <v>73</v>
      </c>
      <c r="AJ425" t="s">
        <v>65</v>
      </c>
      <c r="AK425" t="s">
        <v>78</v>
      </c>
      <c r="AL425" t="s">
        <v>5246</v>
      </c>
      <c r="AM425" t="s">
        <v>76</v>
      </c>
      <c r="AN425" t="s">
        <v>77</v>
      </c>
      <c r="AO425" t="s">
        <v>328</v>
      </c>
      <c r="AP425" t="s">
        <v>5254</v>
      </c>
      <c r="AQ425" t="s">
        <v>80</v>
      </c>
      <c r="AR425" t="s">
        <v>65</v>
      </c>
      <c r="AS425" t="s">
        <v>78</v>
      </c>
      <c r="AT425" t="s">
        <v>5246</v>
      </c>
      <c r="AU425" t="s">
        <v>83</v>
      </c>
      <c r="AV425" t="s">
        <v>5255</v>
      </c>
      <c r="AW425" t="str">
        <f>"3402130"</f>
        <v>3402130</v>
      </c>
    </row>
    <row r="426" spans="1:49">
      <c r="A426" t="str">
        <f t="shared" si="17"/>
        <v>25</v>
      </c>
      <c r="B426" t="s">
        <v>5178</v>
      </c>
      <c r="C426" t="str">
        <f>"0560"</f>
        <v>0560</v>
      </c>
      <c r="D426" t="s">
        <v>5256</v>
      </c>
      <c r="F426" t="s">
        <v>54</v>
      </c>
      <c r="G426" t="s">
        <v>306</v>
      </c>
      <c r="H426" t="s">
        <v>5257</v>
      </c>
      <c r="I426" t="s">
        <v>89</v>
      </c>
      <c r="J426" s="2" t="s">
        <v>5258</v>
      </c>
      <c r="K426" t="s">
        <v>5259</v>
      </c>
      <c r="L426" t="s">
        <v>60</v>
      </c>
      <c r="M426" t="s">
        <v>5260</v>
      </c>
      <c r="N426" t="s">
        <v>62</v>
      </c>
      <c r="O426" t="str">
        <f>"08730"</f>
        <v>08730</v>
      </c>
      <c r="P426" t="s">
        <v>5259</v>
      </c>
      <c r="S426" t="s">
        <v>5260</v>
      </c>
      <c r="T426" t="s">
        <v>62</v>
      </c>
      <c r="U426" t="str">
        <f>"08730"</f>
        <v>08730</v>
      </c>
      <c r="W426" t="s">
        <v>5261</v>
      </c>
      <c r="X426" t="s">
        <v>54</v>
      </c>
      <c r="Y426" t="s">
        <v>1209</v>
      </c>
      <c r="Z426" t="s">
        <v>2274</v>
      </c>
      <c r="AA426" t="s">
        <v>135</v>
      </c>
      <c r="AB426" t="s">
        <v>77</v>
      </c>
      <c r="AC426" t="s">
        <v>343</v>
      </c>
      <c r="AD426" t="s">
        <v>5262</v>
      </c>
      <c r="AE426" t="s">
        <v>115</v>
      </c>
      <c r="AF426" t="s">
        <v>54</v>
      </c>
      <c r="AG426" t="s">
        <v>150</v>
      </c>
      <c r="AH426" t="s">
        <v>1180</v>
      </c>
      <c r="AI426" t="s">
        <v>73</v>
      </c>
      <c r="AJ426" t="s">
        <v>54</v>
      </c>
      <c r="AK426" t="s">
        <v>1684</v>
      </c>
      <c r="AL426" t="s">
        <v>5263</v>
      </c>
      <c r="AM426" t="s">
        <v>76</v>
      </c>
      <c r="AR426" t="s">
        <v>77</v>
      </c>
      <c r="AS426" t="s">
        <v>343</v>
      </c>
      <c r="AT426" t="s">
        <v>5262</v>
      </c>
      <c r="AU426" t="s">
        <v>83</v>
      </c>
      <c r="AV426" t="s">
        <v>5264</v>
      </c>
      <c r="AW426" t="str">
        <f>"3402310"</f>
        <v>3402310</v>
      </c>
    </row>
    <row r="427" spans="1:49">
      <c r="A427" t="str">
        <f>"80"</f>
        <v>80</v>
      </c>
      <c r="B427" t="s">
        <v>5178</v>
      </c>
      <c r="C427" t="str">
        <f>"7891"</f>
        <v>7891</v>
      </c>
      <c r="D427" t="s">
        <v>5265</v>
      </c>
      <c r="E427" t="str">
        <f>"904"</f>
        <v>904</v>
      </c>
      <c r="F427" t="s">
        <v>54</v>
      </c>
      <c r="G427" t="s">
        <v>2082</v>
      </c>
      <c r="H427" t="s">
        <v>5266</v>
      </c>
      <c r="I427" t="s">
        <v>128</v>
      </c>
      <c r="J427" s="2" t="s">
        <v>5267</v>
      </c>
      <c r="K427" t="s">
        <v>5268</v>
      </c>
      <c r="L427" t="s">
        <v>60</v>
      </c>
      <c r="M427" t="s">
        <v>5269</v>
      </c>
      <c r="N427" t="s">
        <v>62</v>
      </c>
      <c r="O427" t="str">
        <f>"07753"</f>
        <v>07753</v>
      </c>
      <c r="P427" t="s">
        <v>5268</v>
      </c>
      <c r="S427" t="s">
        <v>5269</v>
      </c>
      <c r="T427" t="s">
        <v>62</v>
      </c>
      <c r="U427" t="str">
        <f>"07753"</f>
        <v>07753</v>
      </c>
      <c r="W427" t="s">
        <v>5270</v>
      </c>
      <c r="X427" t="s">
        <v>65</v>
      </c>
      <c r="Y427" t="s">
        <v>212</v>
      </c>
      <c r="Z427" t="s">
        <v>491</v>
      </c>
      <c r="AA427" t="s">
        <v>112</v>
      </c>
      <c r="AB427" t="s">
        <v>54</v>
      </c>
      <c r="AC427" t="s">
        <v>2082</v>
      </c>
      <c r="AD427" t="s">
        <v>5266</v>
      </c>
      <c r="AE427" t="s">
        <v>98</v>
      </c>
      <c r="AF427" t="s">
        <v>70</v>
      </c>
      <c r="AG427" t="s">
        <v>5271</v>
      </c>
      <c r="AH427" t="s">
        <v>600</v>
      </c>
      <c r="AI427" t="s">
        <v>73</v>
      </c>
      <c r="AJ427" t="s">
        <v>70</v>
      </c>
      <c r="AK427" t="s">
        <v>851</v>
      </c>
      <c r="AL427" t="s">
        <v>5272</v>
      </c>
      <c r="AM427" t="s">
        <v>76</v>
      </c>
      <c r="AN427" t="s">
        <v>77</v>
      </c>
      <c r="AO427" t="s">
        <v>190</v>
      </c>
      <c r="AP427" t="s">
        <v>5273</v>
      </c>
      <c r="AQ427" t="s">
        <v>80</v>
      </c>
      <c r="AR427" t="s">
        <v>70</v>
      </c>
      <c r="AS427" t="s">
        <v>5274</v>
      </c>
      <c r="AT427" t="s">
        <v>5275</v>
      </c>
      <c r="AU427" t="s">
        <v>83</v>
      </c>
      <c r="AV427" t="s">
        <v>5276</v>
      </c>
    </row>
    <row r="428" spans="1:49">
      <c r="A428" t="str">
        <f t="shared" ref="A428:A439" si="18">"25"</f>
        <v>25</v>
      </c>
      <c r="B428" t="s">
        <v>5178</v>
      </c>
      <c r="C428" t="str">
        <f>"0945"</f>
        <v>0945</v>
      </c>
      <c r="D428" t="s">
        <v>5277</v>
      </c>
      <c r="F428" t="s">
        <v>65</v>
      </c>
      <c r="G428" t="s">
        <v>5278</v>
      </c>
      <c r="H428" t="s">
        <v>5279</v>
      </c>
      <c r="I428" t="s">
        <v>89</v>
      </c>
      <c r="J428" s="2" t="s">
        <v>5280</v>
      </c>
      <c r="K428" t="s">
        <v>5281</v>
      </c>
      <c r="L428" t="s">
        <v>60</v>
      </c>
      <c r="M428" t="s">
        <v>5282</v>
      </c>
      <c r="N428" t="s">
        <v>62</v>
      </c>
      <c r="O428" t="str">
        <f>"07722"</f>
        <v>07722</v>
      </c>
      <c r="P428" t="s">
        <v>5281</v>
      </c>
      <c r="S428" t="s">
        <v>5282</v>
      </c>
      <c r="T428" t="s">
        <v>62</v>
      </c>
      <c r="U428" t="str">
        <f>"07722"</f>
        <v>07722</v>
      </c>
      <c r="W428" t="s">
        <v>5283</v>
      </c>
      <c r="X428" t="s">
        <v>77</v>
      </c>
      <c r="Y428" t="s">
        <v>687</v>
      </c>
      <c r="Z428" t="s">
        <v>5284</v>
      </c>
      <c r="AA428" t="s">
        <v>135</v>
      </c>
      <c r="AB428" t="s">
        <v>65</v>
      </c>
      <c r="AC428" t="s">
        <v>223</v>
      </c>
      <c r="AD428" t="s">
        <v>5285</v>
      </c>
      <c r="AE428" t="s">
        <v>98</v>
      </c>
      <c r="AF428" t="s">
        <v>65</v>
      </c>
      <c r="AG428" t="s">
        <v>223</v>
      </c>
      <c r="AH428" t="s">
        <v>5285</v>
      </c>
      <c r="AI428" t="s">
        <v>73</v>
      </c>
      <c r="AJ428" t="s">
        <v>54</v>
      </c>
      <c r="AK428" t="s">
        <v>1552</v>
      </c>
      <c r="AL428" t="s">
        <v>5286</v>
      </c>
      <c r="AM428" t="s">
        <v>76</v>
      </c>
      <c r="AN428" t="s">
        <v>77</v>
      </c>
      <c r="AO428" t="s">
        <v>144</v>
      </c>
      <c r="AP428" t="s">
        <v>5287</v>
      </c>
      <c r="AQ428" t="s">
        <v>80</v>
      </c>
      <c r="AR428" t="s">
        <v>77</v>
      </c>
      <c r="AS428" t="s">
        <v>182</v>
      </c>
      <c r="AT428" t="s">
        <v>5288</v>
      </c>
      <c r="AU428" t="s">
        <v>83</v>
      </c>
      <c r="AV428" t="s">
        <v>5289</v>
      </c>
      <c r="AW428" t="str">
        <f>"3403450"</f>
        <v>3403450</v>
      </c>
    </row>
    <row r="429" spans="1:49">
      <c r="A429" t="str">
        <f t="shared" si="18"/>
        <v>25</v>
      </c>
      <c r="B429" t="s">
        <v>5178</v>
      </c>
      <c r="C429" t="str">
        <f>"1000"</f>
        <v>1000</v>
      </c>
      <c r="D429" t="s">
        <v>5290</v>
      </c>
      <c r="F429" t="s">
        <v>77</v>
      </c>
      <c r="G429" t="s">
        <v>5291</v>
      </c>
      <c r="H429" t="s">
        <v>5292</v>
      </c>
      <c r="I429" t="s">
        <v>89</v>
      </c>
      <c r="J429" s="2" t="s">
        <v>5293</v>
      </c>
      <c r="K429" t="s">
        <v>5294</v>
      </c>
      <c r="L429" t="s">
        <v>60</v>
      </c>
      <c r="M429" t="s">
        <v>5295</v>
      </c>
      <c r="N429" t="s">
        <v>62</v>
      </c>
      <c r="O429" t="str">
        <f>"07723"</f>
        <v>07723</v>
      </c>
      <c r="P429" t="s">
        <v>5294</v>
      </c>
      <c r="S429" t="s">
        <v>5295</v>
      </c>
      <c r="T429" t="s">
        <v>62</v>
      </c>
      <c r="U429" t="str">
        <f>"07723"</f>
        <v>07723</v>
      </c>
      <c r="W429" t="s">
        <v>5296</v>
      </c>
      <c r="X429" t="s">
        <v>70</v>
      </c>
      <c r="Y429" t="s">
        <v>5297</v>
      </c>
      <c r="Z429" t="s">
        <v>5298</v>
      </c>
      <c r="AA429" t="s">
        <v>112</v>
      </c>
      <c r="AB429" t="s">
        <v>54</v>
      </c>
      <c r="AC429" t="s">
        <v>306</v>
      </c>
      <c r="AD429" t="s">
        <v>3169</v>
      </c>
      <c r="AE429" t="s">
        <v>415</v>
      </c>
      <c r="AF429" t="s">
        <v>77</v>
      </c>
      <c r="AG429" t="s">
        <v>5291</v>
      </c>
      <c r="AH429" t="s">
        <v>5292</v>
      </c>
      <c r="AI429" t="s">
        <v>73</v>
      </c>
      <c r="AJ429" t="s">
        <v>77</v>
      </c>
      <c r="AK429" t="s">
        <v>5291</v>
      </c>
      <c r="AL429" t="s">
        <v>5292</v>
      </c>
      <c r="AM429" t="s">
        <v>76</v>
      </c>
      <c r="AN429" t="s">
        <v>70</v>
      </c>
      <c r="AO429" t="s">
        <v>5297</v>
      </c>
      <c r="AP429" t="s">
        <v>5298</v>
      </c>
      <c r="AQ429" t="s">
        <v>80</v>
      </c>
      <c r="AR429" t="s">
        <v>70</v>
      </c>
      <c r="AS429" t="s">
        <v>5297</v>
      </c>
      <c r="AT429" t="s">
        <v>5298</v>
      </c>
      <c r="AU429" t="s">
        <v>83</v>
      </c>
      <c r="AV429" t="s">
        <v>5299</v>
      </c>
      <c r="AW429" t="str">
        <f>"3403630"</f>
        <v>3403630</v>
      </c>
    </row>
    <row r="430" spans="1:49">
      <c r="A430" t="str">
        <f t="shared" si="18"/>
        <v>25</v>
      </c>
      <c r="B430" t="s">
        <v>5178</v>
      </c>
      <c r="C430" t="str">
        <f>"1260"</f>
        <v>1260</v>
      </c>
      <c r="D430" t="s">
        <v>5300</v>
      </c>
      <c r="F430" t="s">
        <v>77</v>
      </c>
      <c r="G430" t="s">
        <v>436</v>
      </c>
      <c r="H430" t="s">
        <v>5301</v>
      </c>
      <c r="I430" t="s">
        <v>89</v>
      </c>
      <c r="J430" s="2" t="s">
        <v>5302</v>
      </c>
      <c r="K430" t="s">
        <v>5303</v>
      </c>
      <c r="L430" t="s">
        <v>60</v>
      </c>
      <c r="M430" t="s">
        <v>5304</v>
      </c>
      <c r="N430" t="s">
        <v>62</v>
      </c>
      <c r="O430" t="str">
        <f>"07724"</f>
        <v>07724</v>
      </c>
      <c r="P430" t="s">
        <v>5303</v>
      </c>
      <c r="S430" t="s">
        <v>5304</v>
      </c>
      <c r="T430" t="s">
        <v>62</v>
      </c>
      <c r="U430" t="str">
        <f>"07724"</f>
        <v>07724</v>
      </c>
      <c r="W430" t="s">
        <v>5305</v>
      </c>
      <c r="X430" t="s">
        <v>54</v>
      </c>
      <c r="Y430" t="s">
        <v>1666</v>
      </c>
      <c r="Z430" t="s">
        <v>5306</v>
      </c>
      <c r="AA430" t="s">
        <v>135</v>
      </c>
      <c r="AB430" t="s">
        <v>54</v>
      </c>
      <c r="AC430" t="s">
        <v>2074</v>
      </c>
      <c r="AD430" t="s">
        <v>5307</v>
      </c>
      <c r="AE430" t="s">
        <v>913</v>
      </c>
      <c r="AF430" t="s">
        <v>54</v>
      </c>
      <c r="AG430" t="s">
        <v>2074</v>
      </c>
      <c r="AH430" t="s">
        <v>5307</v>
      </c>
      <c r="AI430" t="s">
        <v>73</v>
      </c>
      <c r="AJ430" t="s">
        <v>54</v>
      </c>
      <c r="AK430" t="s">
        <v>1748</v>
      </c>
      <c r="AL430" t="s">
        <v>5308</v>
      </c>
      <c r="AM430" t="s">
        <v>76</v>
      </c>
      <c r="AN430" t="s">
        <v>77</v>
      </c>
      <c r="AO430" t="s">
        <v>120</v>
      </c>
      <c r="AP430" t="s">
        <v>855</v>
      </c>
      <c r="AQ430" t="s">
        <v>80</v>
      </c>
      <c r="AR430" t="s">
        <v>77</v>
      </c>
      <c r="AS430" t="s">
        <v>367</v>
      </c>
      <c r="AT430" t="s">
        <v>5309</v>
      </c>
      <c r="AU430" t="s">
        <v>83</v>
      </c>
      <c r="AV430" t="s">
        <v>5310</v>
      </c>
      <c r="AW430" t="str">
        <f>"3404410"</f>
        <v>3404410</v>
      </c>
    </row>
    <row r="431" spans="1:49">
      <c r="A431" t="str">
        <f t="shared" si="18"/>
        <v>25</v>
      </c>
      <c r="B431" t="s">
        <v>5178</v>
      </c>
      <c r="C431" t="str">
        <f>"1440"</f>
        <v>1440</v>
      </c>
      <c r="D431" t="s">
        <v>5311</v>
      </c>
      <c r="F431" t="s">
        <v>77</v>
      </c>
      <c r="G431" t="s">
        <v>570</v>
      </c>
      <c r="H431" t="s">
        <v>5312</v>
      </c>
      <c r="I431" t="s">
        <v>57</v>
      </c>
      <c r="J431" s="2" t="s">
        <v>5313</v>
      </c>
      <c r="K431" t="s">
        <v>5314</v>
      </c>
      <c r="L431" t="s">
        <v>5315</v>
      </c>
      <c r="M431" t="s">
        <v>5316</v>
      </c>
      <c r="N431" t="s">
        <v>62</v>
      </c>
      <c r="O431" t="str">
        <f>"07704"</f>
        <v>07704</v>
      </c>
      <c r="P431" t="s">
        <v>5314</v>
      </c>
      <c r="Q431" t="s">
        <v>5316</v>
      </c>
      <c r="S431" t="s">
        <v>5316</v>
      </c>
      <c r="T431" t="s">
        <v>62</v>
      </c>
      <c r="U431" t="str">
        <f>"07704"</f>
        <v>07704</v>
      </c>
      <c r="W431" t="s">
        <v>5317</v>
      </c>
      <c r="X431" t="s">
        <v>77</v>
      </c>
      <c r="Y431" t="s">
        <v>190</v>
      </c>
      <c r="Z431" t="s">
        <v>5318</v>
      </c>
      <c r="AA431" t="s">
        <v>112</v>
      </c>
      <c r="AB431" t="s">
        <v>65</v>
      </c>
      <c r="AC431" t="s">
        <v>2195</v>
      </c>
      <c r="AD431" t="s">
        <v>5319</v>
      </c>
      <c r="AE431" t="s">
        <v>587</v>
      </c>
      <c r="AF431" t="s">
        <v>54</v>
      </c>
      <c r="AG431" t="s">
        <v>771</v>
      </c>
      <c r="AH431" t="s">
        <v>5320</v>
      </c>
      <c r="AI431" t="s">
        <v>73</v>
      </c>
      <c r="AJ431" t="s">
        <v>54</v>
      </c>
      <c r="AK431" t="s">
        <v>771</v>
      </c>
      <c r="AL431" t="s">
        <v>5320</v>
      </c>
      <c r="AM431" t="s">
        <v>76</v>
      </c>
      <c r="AR431" t="s">
        <v>77</v>
      </c>
      <c r="AS431" t="s">
        <v>570</v>
      </c>
      <c r="AT431" t="s">
        <v>5312</v>
      </c>
      <c r="AU431" t="s">
        <v>83</v>
      </c>
      <c r="AV431" t="s">
        <v>5321</v>
      </c>
      <c r="AW431" t="str">
        <f>"3404950"</f>
        <v>3404950</v>
      </c>
    </row>
    <row r="432" spans="1:49">
      <c r="A432" t="str">
        <f t="shared" si="18"/>
        <v>25</v>
      </c>
      <c r="B432" t="s">
        <v>5178</v>
      </c>
      <c r="C432" t="str">
        <f>"1490"</f>
        <v>1490</v>
      </c>
      <c r="D432" t="s">
        <v>5322</v>
      </c>
      <c r="F432" t="s">
        <v>54</v>
      </c>
      <c r="G432" t="s">
        <v>5323</v>
      </c>
      <c r="H432" t="s">
        <v>5324</v>
      </c>
      <c r="I432" t="s">
        <v>57</v>
      </c>
      <c r="J432" s="2" t="s">
        <v>5325</v>
      </c>
      <c r="K432" t="s">
        <v>5326</v>
      </c>
      <c r="L432" t="s">
        <v>60</v>
      </c>
      <c r="M432" t="s">
        <v>5327</v>
      </c>
      <c r="N432" t="s">
        <v>62</v>
      </c>
      <c r="O432" t="str">
        <f>"07727"</f>
        <v>07727</v>
      </c>
      <c r="P432" t="s">
        <v>5326</v>
      </c>
      <c r="S432" t="s">
        <v>5327</v>
      </c>
      <c r="T432" t="s">
        <v>62</v>
      </c>
      <c r="U432" t="str">
        <f>"07727"</f>
        <v>07727</v>
      </c>
      <c r="W432" t="s">
        <v>5328</v>
      </c>
      <c r="X432" t="s">
        <v>54</v>
      </c>
      <c r="Y432" t="s">
        <v>5329</v>
      </c>
      <c r="Z432" t="s">
        <v>5330</v>
      </c>
      <c r="AA432" t="s">
        <v>112</v>
      </c>
      <c r="AB432" t="s">
        <v>54</v>
      </c>
      <c r="AC432" t="s">
        <v>5331</v>
      </c>
      <c r="AD432" t="s">
        <v>5332</v>
      </c>
      <c r="AE432" t="s">
        <v>181</v>
      </c>
      <c r="AF432" t="s">
        <v>54</v>
      </c>
      <c r="AG432" t="s">
        <v>397</v>
      </c>
      <c r="AH432" t="s">
        <v>1026</v>
      </c>
      <c r="AI432" t="s">
        <v>73</v>
      </c>
      <c r="AJ432" t="s">
        <v>54</v>
      </c>
      <c r="AK432" t="s">
        <v>5333</v>
      </c>
      <c r="AL432" t="s">
        <v>1619</v>
      </c>
      <c r="AM432" t="s">
        <v>76</v>
      </c>
      <c r="AN432" t="s">
        <v>70</v>
      </c>
      <c r="AO432" t="s">
        <v>289</v>
      </c>
      <c r="AP432" t="s">
        <v>5334</v>
      </c>
      <c r="AQ432" t="s">
        <v>80</v>
      </c>
      <c r="AR432" t="s">
        <v>54</v>
      </c>
      <c r="AS432" t="s">
        <v>5323</v>
      </c>
      <c r="AT432" t="s">
        <v>5324</v>
      </c>
      <c r="AU432" t="s">
        <v>83</v>
      </c>
      <c r="AV432" t="s">
        <v>5335</v>
      </c>
      <c r="AW432" t="str">
        <f>"3405130"</f>
        <v>3405130</v>
      </c>
    </row>
    <row r="433" spans="1:49">
      <c r="A433" t="str">
        <f t="shared" si="18"/>
        <v>25</v>
      </c>
      <c r="B433" t="s">
        <v>5178</v>
      </c>
      <c r="C433" t="str">
        <f>"1640"</f>
        <v>1640</v>
      </c>
      <c r="D433" t="s">
        <v>5336</v>
      </c>
      <c r="F433" t="s">
        <v>65</v>
      </c>
      <c r="G433" t="s">
        <v>4664</v>
      </c>
      <c r="H433" t="s">
        <v>5337</v>
      </c>
      <c r="I433" t="s">
        <v>57</v>
      </c>
      <c r="J433" s="2" t="s">
        <v>5338</v>
      </c>
      <c r="K433" t="s">
        <v>5339</v>
      </c>
      <c r="L433" t="s">
        <v>60</v>
      </c>
      <c r="M433" t="s">
        <v>5340</v>
      </c>
      <c r="N433" t="s">
        <v>62</v>
      </c>
      <c r="O433" t="s">
        <v>5341</v>
      </c>
      <c r="P433" t="s">
        <v>5339</v>
      </c>
      <c r="S433" t="s">
        <v>5340</v>
      </c>
      <c r="T433" t="s">
        <v>62</v>
      </c>
      <c r="U433" t="str">
        <f>"07728"</f>
        <v>07728</v>
      </c>
      <c r="V433" t="str">
        <f>"2006"</f>
        <v>2006</v>
      </c>
      <c r="W433" t="s">
        <v>5342</v>
      </c>
      <c r="X433" t="s">
        <v>65</v>
      </c>
      <c r="Y433" t="s">
        <v>358</v>
      </c>
      <c r="Z433" t="s">
        <v>5343</v>
      </c>
      <c r="AA433" t="s">
        <v>135</v>
      </c>
      <c r="AB433" t="s">
        <v>54</v>
      </c>
      <c r="AC433" t="s">
        <v>155</v>
      </c>
      <c r="AD433" t="s">
        <v>5344</v>
      </c>
      <c r="AE433" t="s">
        <v>98</v>
      </c>
      <c r="AF433" t="s">
        <v>77</v>
      </c>
      <c r="AG433" t="s">
        <v>328</v>
      </c>
      <c r="AH433" t="s">
        <v>5345</v>
      </c>
      <c r="AI433" t="s">
        <v>73</v>
      </c>
      <c r="AJ433" t="s">
        <v>54</v>
      </c>
      <c r="AK433" t="s">
        <v>155</v>
      </c>
      <c r="AL433" t="s">
        <v>2692</v>
      </c>
      <c r="AM433" t="s">
        <v>76</v>
      </c>
      <c r="AN433" t="s">
        <v>54</v>
      </c>
      <c r="AO433" t="s">
        <v>155</v>
      </c>
      <c r="AP433" t="s">
        <v>2692</v>
      </c>
      <c r="AQ433" t="s">
        <v>80</v>
      </c>
      <c r="AR433" t="s">
        <v>77</v>
      </c>
      <c r="AS433" t="s">
        <v>328</v>
      </c>
      <c r="AT433" t="s">
        <v>5345</v>
      </c>
      <c r="AU433" t="s">
        <v>83</v>
      </c>
      <c r="AV433" t="s">
        <v>5346</v>
      </c>
      <c r="AW433" t="str">
        <f>"3405580"</f>
        <v>3405580</v>
      </c>
    </row>
    <row r="434" spans="1:49" s="1" customFormat="1">
      <c r="A434" s="1" t="str">
        <f t="shared" si="18"/>
        <v>25</v>
      </c>
      <c r="B434" s="1" t="s">
        <v>5178</v>
      </c>
      <c r="C434" s="1" t="str">
        <f>"1650"</f>
        <v>1650</v>
      </c>
      <c r="D434" s="1" t="s">
        <v>5347</v>
      </c>
      <c r="F434" s="1" t="s">
        <v>77</v>
      </c>
      <c r="G434" s="1" t="s">
        <v>1012</v>
      </c>
      <c r="H434" s="1" t="s">
        <v>3546</v>
      </c>
      <c r="I434" s="1" t="s">
        <v>57</v>
      </c>
      <c r="J434" s="1" t="s">
        <v>5348</v>
      </c>
      <c r="K434" s="1" t="s">
        <v>5349</v>
      </c>
      <c r="L434" s="1" t="s">
        <v>5350</v>
      </c>
      <c r="M434" s="1" t="s">
        <v>5351</v>
      </c>
      <c r="N434" s="1" t="s">
        <v>62</v>
      </c>
      <c r="O434" s="1" t="s">
        <v>5352</v>
      </c>
      <c r="P434" s="1" t="s">
        <v>5349</v>
      </c>
      <c r="Q434" s="1" t="s">
        <v>5353</v>
      </c>
      <c r="S434" s="1" t="s">
        <v>5351</v>
      </c>
      <c r="T434" s="1" t="s">
        <v>62</v>
      </c>
      <c r="U434" s="1" t="str">
        <f>"07726"</f>
        <v>07726</v>
      </c>
      <c r="V434" s="1" t="str">
        <f>"1513"</f>
        <v>1513</v>
      </c>
      <c r="W434" s="1" t="s">
        <v>5354</v>
      </c>
      <c r="X434" s="1" t="s">
        <v>77</v>
      </c>
      <c r="Y434" s="1" t="s">
        <v>570</v>
      </c>
      <c r="Z434" s="1" t="s">
        <v>5355</v>
      </c>
      <c r="AA434" s="1" t="s">
        <v>135</v>
      </c>
      <c r="AB434" s="1" t="s">
        <v>65</v>
      </c>
      <c r="AC434" s="1" t="s">
        <v>928</v>
      </c>
      <c r="AD434" s="1" t="s">
        <v>5356</v>
      </c>
      <c r="AE434" s="1" t="s">
        <v>98</v>
      </c>
      <c r="AF434" s="1" t="s">
        <v>77</v>
      </c>
      <c r="AG434" s="1" t="s">
        <v>120</v>
      </c>
      <c r="AH434" s="1" t="s">
        <v>5357</v>
      </c>
      <c r="AI434" s="1" t="s">
        <v>73</v>
      </c>
      <c r="AJ434" s="1" t="s">
        <v>77</v>
      </c>
      <c r="AK434" s="1" t="s">
        <v>2694</v>
      </c>
      <c r="AL434" s="1" t="s">
        <v>5358</v>
      </c>
      <c r="AM434" s="1" t="s">
        <v>76</v>
      </c>
      <c r="AN434" s="1" t="s">
        <v>77</v>
      </c>
      <c r="AO434" s="1" t="s">
        <v>4838</v>
      </c>
      <c r="AP434" s="1" t="s">
        <v>5359</v>
      </c>
      <c r="AQ434" s="1" t="s">
        <v>80</v>
      </c>
      <c r="AR434" s="1" t="s">
        <v>77</v>
      </c>
      <c r="AS434" s="1" t="s">
        <v>120</v>
      </c>
      <c r="AT434" s="1" t="s">
        <v>5357</v>
      </c>
      <c r="AU434" s="1" t="s">
        <v>83</v>
      </c>
      <c r="AV434" s="1" t="s">
        <v>5360</v>
      </c>
      <c r="AW434" s="1" t="str">
        <f>"3405610"</f>
        <v>3405610</v>
      </c>
    </row>
    <row r="435" spans="1:49">
      <c r="A435" t="str">
        <f t="shared" si="18"/>
        <v>25</v>
      </c>
      <c r="B435" t="s">
        <v>5178</v>
      </c>
      <c r="C435" t="str">
        <f>"1660"</f>
        <v>1660</v>
      </c>
      <c r="D435" t="s">
        <v>5361</v>
      </c>
      <c r="F435" t="s">
        <v>77</v>
      </c>
      <c r="G435" t="s">
        <v>5362</v>
      </c>
      <c r="H435" t="s">
        <v>5363</v>
      </c>
      <c r="I435" t="s">
        <v>57</v>
      </c>
      <c r="J435" s="2" t="s">
        <v>5364</v>
      </c>
      <c r="K435" t="s">
        <v>5365</v>
      </c>
      <c r="L435" t="s">
        <v>60</v>
      </c>
      <c r="M435" t="s">
        <v>5340</v>
      </c>
      <c r="N435" t="s">
        <v>62</v>
      </c>
      <c r="O435" t="str">
        <f>"07728"</f>
        <v>07728</v>
      </c>
      <c r="P435" t="s">
        <v>5365</v>
      </c>
      <c r="S435" t="s">
        <v>5340</v>
      </c>
      <c r="T435" t="s">
        <v>62</v>
      </c>
      <c r="U435" t="str">
        <f>"07728"</f>
        <v>07728</v>
      </c>
      <c r="W435" t="s">
        <v>5366</v>
      </c>
      <c r="X435" t="s">
        <v>77</v>
      </c>
      <c r="Y435" t="s">
        <v>873</v>
      </c>
      <c r="Z435" t="s">
        <v>3214</v>
      </c>
      <c r="AA435" t="s">
        <v>68</v>
      </c>
      <c r="AB435" t="s">
        <v>54</v>
      </c>
      <c r="AC435" t="s">
        <v>5367</v>
      </c>
      <c r="AD435" t="s">
        <v>5368</v>
      </c>
      <c r="AE435" t="s">
        <v>98</v>
      </c>
      <c r="AF435" t="s">
        <v>65</v>
      </c>
      <c r="AG435" t="s">
        <v>4984</v>
      </c>
      <c r="AH435" t="s">
        <v>5369</v>
      </c>
      <c r="AI435" t="s">
        <v>73</v>
      </c>
      <c r="AJ435" t="s">
        <v>65</v>
      </c>
      <c r="AK435" t="s">
        <v>4984</v>
      </c>
      <c r="AL435" t="s">
        <v>5369</v>
      </c>
      <c r="AM435" t="s">
        <v>154</v>
      </c>
      <c r="AN435" t="s">
        <v>77</v>
      </c>
      <c r="AO435" t="s">
        <v>259</v>
      </c>
      <c r="AP435" t="s">
        <v>5370</v>
      </c>
      <c r="AQ435" t="s">
        <v>80</v>
      </c>
      <c r="AR435" t="s">
        <v>65</v>
      </c>
      <c r="AS435" t="s">
        <v>4984</v>
      </c>
      <c r="AT435" t="s">
        <v>5369</v>
      </c>
      <c r="AU435" t="s">
        <v>83</v>
      </c>
      <c r="AV435" t="s">
        <v>5371</v>
      </c>
      <c r="AW435" t="str">
        <f>"3405640"</f>
        <v>3405640</v>
      </c>
    </row>
    <row r="436" spans="1:49">
      <c r="A436" t="str">
        <f t="shared" si="18"/>
        <v>25</v>
      </c>
      <c r="B436" t="s">
        <v>5178</v>
      </c>
      <c r="C436" t="str">
        <f>"2105"</f>
        <v>2105</v>
      </c>
      <c r="D436" t="s">
        <v>5372</v>
      </c>
      <c r="F436" t="s">
        <v>65</v>
      </c>
      <c r="G436" t="s">
        <v>436</v>
      </c>
      <c r="H436" t="s">
        <v>5373</v>
      </c>
      <c r="I436" t="s">
        <v>89</v>
      </c>
      <c r="J436" s="2" t="s">
        <v>5374</v>
      </c>
      <c r="K436" t="s">
        <v>5375</v>
      </c>
      <c r="L436" t="s">
        <v>60</v>
      </c>
      <c r="M436" t="s">
        <v>5376</v>
      </c>
      <c r="N436" t="s">
        <v>62</v>
      </c>
      <c r="O436" t="str">
        <f>"07730"</f>
        <v>07730</v>
      </c>
      <c r="P436" t="s">
        <v>5375</v>
      </c>
      <c r="S436" t="s">
        <v>5376</v>
      </c>
      <c r="T436" t="s">
        <v>62</v>
      </c>
      <c r="U436" t="str">
        <f>"07730"</f>
        <v>07730</v>
      </c>
      <c r="W436" t="s">
        <v>5377</v>
      </c>
      <c r="X436" t="s">
        <v>77</v>
      </c>
      <c r="Y436" t="s">
        <v>287</v>
      </c>
      <c r="Z436" t="s">
        <v>5230</v>
      </c>
      <c r="AA436" t="s">
        <v>135</v>
      </c>
      <c r="AB436" t="s">
        <v>54</v>
      </c>
      <c r="AC436" t="s">
        <v>619</v>
      </c>
      <c r="AD436" t="s">
        <v>5378</v>
      </c>
      <c r="AE436" t="s">
        <v>98</v>
      </c>
      <c r="AF436" t="s">
        <v>54</v>
      </c>
      <c r="AG436" t="s">
        <v>1207</v>
      </c>
      <c r="AH436" t="s">
        <v>5379</v>
      </c>
      <c r="AI436" t="s">
        <v>73</v>
      </c>
      <c r="AJ436" t="s">
        <v>54</v>
      </c>
      <c r="AK436" t="s">
        <v>957</v>
      </c>
      <c r="AL436" t="s">
        <v>5380</v>
      </c>
      <c r="AM436" t="s">
        <v>76</v>
      </c>
      <c r="AN436" t="s">
        <v>77</v>
      </c>
      <c r="AO436" t="s">
        <v>358</v>
      </c>
      <c r="AP436" t="s">
        <v>803</v>
      </c>
      <c r="AQ436" t="s">
        <v>80</v>
      </c>
      <c r="AR436" t="s">
        <v>77</v>
      </c>
      <c r="AS436" t="s">
        <v>358</v>
      </c>
      <c r="AT436" t="s">
        <v>5381</v>
      </c>
      <c r="AU436" t="s">
        <v>83</v>
      </c>
      <c r="AV436" t="s">
        <v>5382</v>
      </c>
      <c r="AW436" t="str">
        <f>"3413680"</f>
        <v>3413680</v>
      </c>
    </row>
    <row r="437" spans="1:49">
      <c r="A437" t="str">
        <f t="shared" si="18"/>
        <v>25</v>
      </c>
      <c r="B437" t="s">
        <v>5178</v>
      </c>
      <c r="C437" t="str">
        <f>"2120"</f>
        <v>2120</v>
      </c>
      <c r="D437" t="s">
        <v>5383</v>
      </c>
      <c r="F437" t="s">
        <v>65</v>
      </c>
      <c r="G437" t="s">
        <v>541</v>
      </c>
      <c r="H437" t="s">
        <v>5204</v>
      </c>
      <c r="I437" t="s">
        <v>89</v>
      </c>
      <c r="J437" s="2" t="s">
        <v>5384</v>
      </c>
      <c r="K437" t="s">
        <v>5385</v>
      </c>
      <c r="L437" t="s">
        <v>60</v>
      </c>
      <c r="M437" t="s">
        <v>5386</v>
      </c>
      <c r="N437" t="s">
        <v>62</v>
      </c>
      <c r="O437" t="str">
        <f>"07732"</f>
        <v>07732</v>
      </c>
      <c r="P437" t="s">
        <v>5385</v>
      </c>
      <c r="S437" t="s">
        <v>5386</v>
      </c>
      <c r="T437" t="s">
        <v>62</v>
      </c>
      <c r="U437" t="str">
        <f>"07732"</f>
        <v>07732</v>
      </c>
      <c r="W437" t="s">
        <v>5387</v>
      </c>
      <c r="X437" t="s">
        <v>54</v>
      </c>
      <c r="Y437" t="s">
        <v>651</v>
      </c>
      <c r="Z437" t="s">
        <v>5209</v>
      </c>
      <c r="AA437" t="s">
        <v>68</v>
      </c>
      <c r="AB437" t="s">
        <v>77</v>
      </c>
      <c r="AC437" t="s">
        <v>2564</v>
      </c>
      <c r="AD437" t="s">
        <v>5210</v>
      </c>
      <c r="AE437" t="s">
        <v>913</v>
      </c>
      <c r="AF437" t="s">
        <v>77</v>
      </c>
      <c r="AG437" t="s">
        <v>687</v>
      </c>
      <c r="AH437" t="s">
        <v>3687</v>
      </c>
      <c r="AI437" t="s">
        <v>73</v>
      </c>
      <c r="AJ437" t="s">
        <v>54</v>
      </c>
      <c r="AK437" t="s">
        <v>5388</v>
      </c>
      <c r="AL437" t="s">
        <v>5389</v>
      </c>
      <c r="AM437" t="s">
        <v>76</v>
      </c>
      <c r="AN437" t="s">
        <v>77</v>
      </c>
      <c r="AO437" t="s">
        <v>3153</v>
      </c>
      <c r="AP437" t="s">
        <v>454</v>
      </c>
      <c r="AQ437" t="s">
        <v>80</v>
      </c>
      <c r="AR437" t="s">
        <v>54</v>
      </c>
      <c r="AS437" t="s">
        <v>5388</v>
      </c>
      <c r="AT437" t="s">
        <v>5389</v>
      </c>
      <c r="AU437" t="s">
        <v>83</v>
      </c>
      <c r="AV437" t="s">
        <v>5390</v>
      </c>
      <c r="AW437" t="str">
        <f>"3407050"</f>
        <v>3407050</v>
      </c>
    </row>
    <row r="438" spans="1:49">
      <c r="A438" t="str">
        <f t="shared" si="18"/>
        <v>25</v>
      </c>
      <c r="B438" t="s">
        <v>5178</v>
      </c>
      <c r="C438" t="str">
        <f>"2160"</f>
        <v>2160</v>
      </c>
      <c r="D438" t="s">
        <v>5391</v>
      </c>
      <c r="F438" t="s">
        <v>65</v>
      </c>
      <c r="G438" t="s">
        <v>541</v>
      </c>
      <c r="H438" t="s">
        <v>5204</v>
      </c>
      <c r="I438" t="s">
        <v>89</v>
      </c>
      <c r="J438" s="2" t="s">
        <v>5392</v>
      </c>
      <c r="K438" t="s">
        <v>5393</v>
      </c>
      <c r="L438" t="s">
        <v>60</v>
      </c>
      <c r="M438" t="s">
        <v>5386</v>
      </c>
      <c r="N438" t="s">
        <v>62</v>
      </c>
      <c r="O438" t="s">
        <v>5394</v>
      </c>
      <c r="P438" t="s">
        <v>5393</v>
      </c>
      <c r="S438" t="s">
        <v>5386</v>
      </c>
      <c r="T438" t="s">
        <v>62</v>
      </c>
      <c r="U438" t="str">
        <f>"07732"</f>
        <v>07732</v>
      </c>
      <c r="V438" t="str">
        <f>"1323"</f>
        <v>1323</v>
      </c>
      <c r="W438" t="s">
        <v>5395</v>
      </c>
      <c r="X438" t="s">
        <v>77</v>
      </c>
      <c r="Y438" t="s">
        <v>287</v>
      </c>
      <c r="Z438" t="s">
        <v>5230</v>
      </c>
      <c r="AA438" t="s">
        <v>68</v>
      </c>
      <c r="AB438" t="s">
        <v>77</v>
      </c>
      <c r="AC438" t="s">
        <v>2564</v>
      </c>
      <c r="AD438" t="s">
        <v>5210</v>
      </c>
      <c r="AE438" t="s">
        <v>913</v>
      </c>
      <c r="AF438" t="s">
        <v>77</v>
      </c>
      <c r="AG438" t="s">
        <v>87</v>
      </c>
      <c r="AH438" t="s">
        <v>5396</v>
      </c>
      <c r="AI438" t="s">
        <v>73</v>
      </c>
      <c r="AJ438" t="s">
        <v>77</v>
      </c>
      <c r="AK438" t="s">
        <v>87</v>
      </c>
      <c r="AL438" t="s">
        <v>5396</v>
      </c>
      <c r="AM438" t="s">
        <v>76</v>
      </c>
      <c r="AR438" t="s">
        <v>77</v>
      </c>
      <c r="AS438" t="s">
        <v>87</v>
      </c>
      <c r="AT438" t="s">
        <v>5396</v>
      </c>
      <c r="AU438" t="s">
        <v>83</v>
      </c>
      <c r="AV438" t="s">
        <v>5397</v>
      </c>
      <c r="AW438" t="str">
        <f>"3407200"</f>
        <v>3407200</v>
      </c>
    </row>
    <row r="439" spans="1:49">
      <c r="A439" t="str">
        <f t="shared" si="18"/>
        <v>25</v>
      </c>
      <c r="B439" t="s">
        <v>5178</v>
      </c>
      <c r="C439" t="str">
        <f>"2230"</f>
        <v>2230</v>
      </c>
      <c r="D439" t="s">
        <v>5398</v>
      </c>
      <c r="F439" t="s">
        <v>65</v>
      </c>
      <c r="G439" t="s">
        <v>5399</v>
      </c>
      <c r="H439" t="s">
        <v>5400</v>
      </c>
      <c r="I439" t="s">
        <v>57</v>
      </c>
      <c r="J439" s="2" t="s">
        <v>5401</v>
      </c>
      <c r="K439" t="s">
        <v>5402</v>
      </c>
      <c r="L439" t="s">
        <v>60</v>
      </c>
      <c r="M439" t="s">
        <v>5403</v>
      </c>
      <c r="N439" t="s">
        <v>62</v>
      </c>
      <c r="O439" t="str">
        <f>"07733"</f>
        <v>07733</v>
      </c>
      <c r="P439" t="s">
        <v>5402</v>
      </c>
      <c r="S439" t="s">
        <v>5403</v>
      </c>
      <c r="T439" t="s">
        <v>62</v>
      </c>
      <c r="U439" t="str">
        <f>"07733"</f>
        <v>07733</v>
      </c>
      <c r="W439" t="s">
        <v>5404</v>
      </c>
      <c r="X439" t="s">
        <v>77</v>
      </c>
      <c r="Y439" t="s">
        <v>120</v>
      </c>
      <c r="Z439" t="s">
        <v>5405</v>
      </c>
      <c r="AA439" t="s">
        <v>112</v>
      </c>
      <c r="AB439" t="s">
        <v>70</v>
      </c>
      <c r="AC439" t="s">
        <v>5406</v>
      </c>
      <c r="AD439" t="s">
        <v>5407</v>
      </c>
      <c r="AE439" t="s">
        <v>98</v>
      </c>
      <c r="AF439" t="s">
        <v>70</v>
      </c>
      <c r="AG439" t="s">
        <v>5408</v>
      </c>
      <c r="AH439" t="s">
        <v>5409</v>
      </c>
      <c r="AI439" t="s">
        <v>73</v>
      </c>
      <c r="AK439" t="s">
        <v>5410</v>
      </c>
      <c r="AL439" t="s">
        <v>5410</v>
      </c>
      <c r="AM439" t="s">
        <v>76</v>
      </c>
      <c r="AN439" t="s">
        <v>77</v>
      </c>
      <c r="AO439" t="s">
        <v>166</v>
      </c>
      <c r="AP439" t="s">
        <v>5411</v>
      </c>
      <c r="AQ439" t="s">
        <v>80</v>
      </c>
      <c r="AR439" t="s">
        <v>77</v>
      </c>
      <c r="AS439" t="s">
        <v>892</v>
      </c>
      <c r="AT439" t="s">
        <v>5412</v>
      </c>
      <c r="AU439" t="s">
        <v>83</v>
      </c>
      <c r="AV439" t="s">
        <v>5413</v>
      </c>
      <c r="AW439" t="str">
        <f>"3407410"</f>
        <v>3407410</v>
      </c>
    </row>
    <row r="440" spans="1:49">
      <c r="A440" t="str">
        <f>"80"</f>
        <v>80</v>
      </c>
      <c r="B440" t="s">
        <v>5178</v>
      </c>
      <c r="C440" t="str">
        <f>"6740"</f>
        <v>6740</v>
      </c>
      <c r="D440" t="s">
        <v>5414</v>
      </c>
      <c r="E440" t="str">
        <f>"950"</f>
        <v>950</v>
      </c>
      <c r="F440" t="s">
        <v>54</v>
      </c>
      <c r="G440" t="s">
        <v>5415</v>
      </c>
      <c r="H440" t="s">
        <v>5416</v>
      </c>
      <c r="I440" t="s">
        <v>57</v>
      </c>
      <c r="J440" s="2" t="s">
        <v>5417</v>
      </c>
      <c r="K440" t="s">
        <v>5418</v>
      </c>
      <c r="L440" t="s">
        <v>60</v>
      </c>
      <c r="M440" t="s">
        <v>5197</v>
      </c>
      <c r="N440" t="s">
        <v>62</v>
      </c>
      <c r="O440" t="s">
        <v>5419</v>
      </c>
      <c r="P440" t="s">
        <v>5418</v>
      </c>
      <c r="S440" t="s">
        <v>5197</v>
      </c>
      <c r="T440" t="s">
        <v>62</v>
      </c>
      <c r="U440" t="str">
        <f>"07712"</f>
        <v>07712</v>
      </c>
      <c r="V440" t="str">
        <f>"6656"</f>
        <v>6656</v>
      </c>
      <c r="W440" t="s">
        <v>5420</v>
      </c>
      <c r="X440" t="s">
        <v>54</v>
      </c>
      <c r="Y440" t="s">
        <v>1346</v>
      </c>
      <c r="Z440" t="s">
        <v>1544</v>
      </c>
      <c r="AA440" t="s">
        <v>135</v>
      </c>
      <c r="AB440" t="s">
        <v>65</v>
      </c>
      <c r="AC440" t="s">
        <v>711</v>
      </c>
      <c r="AD440" t="s">
        <v>5421</v>
      </c>
      <c r="AE440" t="s">
        <v>587</v>
      </c>
      <c r="AF440" t="s">
        <v>77</v>
      </c>
      <c r="AG440" t="s">
        <v>5422</v>
      </c>
      <c r="AH440" t="s">
        <v>190</v>
      </c>
      <c r="AI440" t="s">
        <v>73</v>
      </c>
      <c r="AJ440" t="s">
        <v>70</v>
      </c>
      <c r="AK440" t="s">
        <v>1246</v>
      </c>
      <c r="AL440" t="s">
        <v>5423</v>
      </c>
      <c r="AM440" t="s">
        <v>76</v>
      </c>
      <c r="AN440" t="s">
        <v>77</v>
      </c>
      <c r="AO440" t="s">
        <v>5424</v>
      </c>
      <c r="AP440" t="s">
        <v>5425</v>
      </c>
      <c r="AQ440" t="s">
        <v>80</v>
      </c>
      <c r="AR440" t="s">
        <v>54</v>
      </c>
      <c r="AS440" t="s">
        <v>5415</v>
      </c>
      <c r="AT440" t="s">
        <v>5416</v>
      </c>
      <c r="AU440" t="s">
        <v>83</v>
      </c>
      <c r="AV440" t="s">
        <v>5426</v>
      </c>
      <c r="AW440" t="str">
        <f>"3400076"</f>
        <v>3400076</v>
      </c>
    </row>
    <row r="441" spans="1:49">
      <c r="A441" t="str">
        <f t="shared" ref="A441:A462" si="19">"25"</f>
        <v>25</v>
      </c>
      <c r="B441" t="s">
        <v>5178</v>
      </c>
      <c r="C441" t="str">
        <f>"2290"</f>
        <v>2290</v>
      </c>
      <c r="D441" t="s">
        <v>5427</v>
      </c>
      <c r="F441" t="s">
        <v>77</v>
      </c>
      <c r="G441" t="s">
        <v>358</v>
      </c>
      <c r="H441" t="s">
        <v>5428</v>
      </c>
      <c r="I441" t="s">
        <v>57</v>
      </c>
      <c r="J441" s="2" t="s">
        <v>5429</v>
      </c>
      <c r="K441" t="s">
        <v>5430</v>
      </c>
      <c r="L441" t="s">
        <v>5431</v>
      </c>
      <c r="M441" t="s">
        <v>5432</v>
      </c>
      <c r="N441" t="s">
        <v>62</v>
      </c>
      <c r="O441" t="str">
        <f>"07731"</f>
        <v>07731</v>
      </c>
      <c r="P441" t="s">
        <v>5433</v>
      </c>
      <c r="S441" t="s">
        <v>5434</v>
      </c>
      <c r="T441" t="s">
        <v>62</v>
      </c>
      <c r="U441" t="str">
        <f>"07731"</f>
        <v>07731</v>
      </c>
      <c r="W441" t="s">
        <v>5435</v>
      </c>
      <c r="X441" t="s">
        <v>77</v>
      </c>
      <c r="Y441" t="s">
        <v>844</v>
      </c>
      <c r="Z441" t="s">
        <v>5436</v>
      </c>
      <c r="AA441" t="s">
        <v>135</v>
      </c>
      <c r="AB441" t="s">
        <v>54</v>
      </c>
      <c r="AC441" t="s">
        <v>5437</v>
      </c>
      <c r="AD441" t="s">
        <v>5438</v>
      </c>
      <c r="AE441" t="s">
        <v>98</v>
      </c>
      <c r="AF441" t="s">
        <v>54</v>
      </c>
      <c r="AG441" t="s">
        <v>5439</v>
      </c>
      <c r="AH441" t="s">
        <v>5440</v>
      </c>
      <c r="AI441" t="s">
        <v>73</v>
      </c>
      <c r="AJ441" t="s">
        <v>54</v>
      </c>
      <c r="AK441" t="s">
        <v>619</v>
      </c>
      <c r="AL441" t="s">
        <v>2895</v>
      </c>
      <c r="AM441" t="s">
        <v>76</v>
      </c>
      <c r="AN441" t="s">
        <v>77</v>
      </c>
      <c r="AO441" t="s">
        <v>319</v>
      </c>
      <c r="AP441" t="s">
        <v>5441</v>
      </c>
      <c r="AQ441" t="s">
        <v>80</v>
      </c>
      <c r="AR441" t="s">
        <v>77</v>
      </c>
      <c r="AS441" t="s">
        <v>844</v>
      </c>
      <c r="AT441" t="s">
        <v>5436</v>
      </c>
      <c r="AU441" t="s">
        <v>83</v>
      </c>
      <c r="AV441" t="s">
        <v>5442</v>
      </c>
      <c r="AW441" t="str">
        <f>"3407560"</f>
        <v>3407560</v>
      </c>
    </row>
    <row r="442" spans="1:49">
      <c r="A442" t="str">
        <f t="shared" si="19"/>
        <v>25</v>
      </c>
      <c r="B442" t="s">
        <v>5178</v>
      </c>
      <c r="C442" t="str">
        <f>"2320"</f>
        <v>2320</v>
      </c>
      <c r="D442" t="s">
        <v>5443</v>
      </c>
      <c r="K442" t="s">
        <v>5444</v>
      </c>
      <c r="L442" t="s">
        <v>60</v>
      </c>
      <c r="M442" t="s">
        <v>5445</v>
      </c>
      <c r="N442" t="s">
        <v>62</v>
      </c>
      <c r="O442" t="str">
        <f>"07712"</f>
        <v>07712</v>
      </c>
      <c r="P442" t="s">
        <v>5446</v>
      </c>
      <c r="Q442" t="s">
        <v>5447</v>
      </c>
      <c r="S442" t="s">
        <v>5448</v>
      </c>
      <c r="T442" t="s">
        <v>62</v>
      </c>
      <c r="U442" t="str">
        <f>"07764"</f>
        <v>07764</v>
      </c>
      <c r="X442" t="s">
        <v>70</v>
      </c>
      <c r="Y442" t="s">
        <v>5449</v>
      </c>
      <c r="Z442" t="s">
        <v>5450</v>
      </c>
      <c r="AA442" t="s">
        <v>112</v>
      </c>
      <c r="AV442" t="s">
        <v>5451</v>
      </c>
    </row>
    <row r="443" spans="1:49">
      <c r="A443" t="str">
        <f t="shared" si="19"/>
        <v>25</v>
      </c>
      <c r="B443" t="s">
        <v>5178</v>
      </c>
      <c r="C443" t="str">
        <f>"2400"</f>
        <v>2400</v>
      </c>
      <c r="D443" t="s">
        <v>5452</v>
      </c>
      <c r="F443" t="s">
        <v>70</v>
      </c>
      <c r="G443" t="s">
        <v>771</v>
      </c>
      <c r="H443" t="s">
        <v>5453</v>
      </c>
      <c r="I443" t="s">
        <v>57</v>
      </c>
      <c r="J443" s="2" t="s">
        <v>5454</v>
      </c>
      <c r="K443" t="s">
        <v>5455</v>
      </c>
      <c r="L443" t="s">
        <v>60</v>
      </c>
      <c r="M443" t="s">
        <v>5456</v>
      </c>
      <c r="N443" t="s">
        <v>62</v>
      </c>
      <c r="O443" t="str">
        <f>"07734"</f>
        <v>07734</v>
      </c>
      <c r="P443" t="s">
        <v>5455</v>
      </c>
      <c r="S443" t="s">
        <v>5456</v>
      </c>
      <c r="T443" t="s">
        <v>62</v>
      </c>
      <c r="U443" t="str">
        <f>"07734"</f>
        <v>07734</v>
      </c>
      <c r="W443" t="s">
        <v>5457</v>
      </c>
      <c r="X443" t="s">
        <v>54</v>
      </c>
      <c r="Y443" t="s">
        <v>5458</v>
      </c>
      <c r="Z443" t="s">
        <v>5459</v>
      </c>
      <c r="AA443" t="s">
        <v>773</v>
      </c>
      <c r="AB443" t="s">
        <v>70</v>
      </c>
      <c r="AC443" t="s">
        <v>1748</v>
      </c>
      <c r="AD443" t="s">
        <v>824</v>
      </c>
      <c r="AE443" t="s">
        <v>587</v>
      </c>
      <c r="AF443" t="s">
        <v>77</v>
      </c>
      <c r="AG443" t="s">
        <v>120</v>
      </c>
      <c r="AH443" t="s">
        <v>5460</v>
      </c>
      <c r="AI443" t="s">
        <v>73</v>
      </c>
      <c r="AJ443" t="s">
        <v>70</v>
      </c>
      <c r="AK443" t="s">
        <v>306</v>
      </c>
      <c r="AL443" t="s">
        <v>5461</v>
      </c>
      <c r="AM443" t="s">
        <v>76</v>
      </c>
      <c r="AR443" t="s">
        <v>77</v>
      </c>
      <c r="AS443" t="s">
        <v>1690</v>
      </c>
      <c r="AT443" t="s">
        <v>5462</v>
      </c>
      <c r="AU443" t="s">
        <v>83</v>
      </c>
      <c r="AV443" t="s">
        <v>5463</v>
      </c>
      <c r="AW443" t="str">
        <f>"3407860"</f>
        <v>3407860</v>
      </c>
    </row>
    <row r="444" spans="1:49">
      <c r="A444" t="str">
        <f t="shared" si="19"/>
        <v>25</v>
      </c>
      <c r="B444" t="s">
        <v>5178</v>
      </c>
      <c r="C444" t="str">
        <f>"2430"</f>
        <v>2430</v>
      </c>
      <c r="D444" t="s">
        <v>5464</v>
      </c>
      <c r="F444" t="s">
        <v>65</v>
      </c>
      <c r="G444" t="s">
        <v>150</v>
      </c>
      <c r="H444" t="s">
        <v>5465</v>
      </c>
      <c r="I444" t="s">
        <v>89</v>
      </c>
      <c r="J444" s="2" t="s">
        <v>5466</v>
      </c>
      <c r="K444" t="s">
        <v>5467</v>
      </c>
      <c r="L444" t="s">
        <v>60</v>
      </c>
      <c r="M444" t="s">
        <v>5468</v>
      </c>
      <c r="N444" t="s">
        <v>62</v>
      </c>
      <c r="O444" t="str">
        <f>"07735"</f>
        <v>07735</v>
      </c>
      <c r="P444" t="s">
        <v>5467</v>
      </c>
      <c r="S444" t="s">
        <v>5468</v>
      </c>
      <c r="T444" t="s">
        <v>62</v>
      </c>
      <c r="U444" t="str">
        <f>"07735"</f>
        <v>07735</v>
      </c>
      <c r="W444" t="s">
        <v>5469</v>
      </c>
      <c r="X444" t="s">
        <v>77</v>
      </c>
      <c r="Y444" t="s">
        <v>166</v>
      </c>
      <c r="Z444" t="s">
        <v>5470</v>
      </c>
      <c r="AA444" t="s">
        <v>135</v>
      </c>
      <c r="AB444" t="s">
        <v>77</v>
      </c>
      <c r="AC444" t="s">
        <v>1144</v>
      </c>
      <c r="AD444" t="s">
        <v>5471</v>
      </c>
      <c r="AE444" t="s">
        <v>98</v>
      </c>
      <c r="AF444" t="s">
        <v>77</v>
      </c>
      <c r="AG444" t="s">
        <v>358</v>
      </c>
      <c r="AH444" t="s">
        <v>5472</v>
      </c>
      <c r="AI444" t="s">
        <v>73</v>
      </c>
      <c r="AJ444" t="s">
        <v>54</v>
      </c>
      <c r="AK444" t="s">
        <v>5201</v>
      </c>
      <c r="AL444" t="s">
        <v>5473</v>
      </c>
      <c r="AM444" t="s">
        <v>76</v>
      </c>
      <c r="AN444" t="s">
        <v>77</v>
      </c>
      <c r="AO444" t="s">
        <v>5474</v>
      </c>
      <c r="AP444" t="s">
        <v>5475</v>
      </c>
      <c r="AQ444" t="s">
        <v>80</v>
      </c>
      <c r="AR444" t="s">
        <v>77</v>
      </c>
      <c r="AS444" t="s">
        <v>5476</v>
      </c>
      <c r="AT444" t="s">
        <v>5477</v>
      </c>
      <c r="AU444" t="s">
        <v>83</v>
      </c>
      <c r="AV444" t="s">
        <v>5478</v>
      </c>
      <c r="AW444" t="str">
        <f>"3407950"</f>
        <v>3407950</v>
      </c>
    </row>
    <row r="445" spans="1:49">
      <c r="A445" t="str">
        <f t="shared" si="19"/>
        <v>25</v>
      </c>
      <c r="B445" t="s">
        <v>5178</v>
      </c>
      <c r="C445" t="str">
        <f>"4840"</f>
        <v>4840</v>
      </c>
      <c r="D445" t="s">
        <v>5479</v>
      </c>
      <c r="F445" t="s">
        <v>70</v>
      </c>
      <c r="G445" t="s">
        <v>2683</v>
      </c>
      <c r="H445" t="s">
        <v>2376</v>
      </c>
      <c r="I445" t="s">
        <v>89</v>
      </c>
      <c r="J445" s="3" t="s">
        <v>8185</v>
      </c>
      <c r="K445" t="s">
        <v>5238</v>
      </c>
      <c r="L445" t="s">
        <v>60</v>
      </c>
      <c r="M445" t="s">
        <v>5239</v>
      </c>
      <c r="N445" t="s">
        <v>62</v>
      </c>
      <c r="O445" t="str">
        <f>"07719"</f>
        <v>07719</v>
      </c>
      <c r="P445" t="s">
        <v>5238</v>
      </c>
      <c r="S445" t="s">
        <v>5239</v>
      </c>
      <c r="T445" t="s">
        <v>62</v>
      </c>
      <c r="U445" t="str">
        <f>"07719"</f>
        <v>07719</v>
      </c>
      <c r="W445" t="s">
        <v>5480</v>
      </c>
      <c r="X445" t="s">
        <v>70</v>
      </c>
      <c r="Y445" t="s">
        <v>2683</v>
      </c>
      <c r="Z445" t="s">
        <v>2376</v>
      </c>
      <c r="AA445" t="s">
        <v>135</v>
      </c>
      <c r="AC445" t="s">
        <v>5481</v>
      </c>
      <c r="AD445" t="s">
        <v>5481</v>
      </c>
      <c r="AE445" t="s">
        <v>181</v>
      </c>
      <c r="AG445" t="s">
        <v>5481</v>
      </c>
      <c r="AH445" t="s">
        <v>5481</v>
      </c>
      <c r="AI445" t="s">
        <v>73</v>
      </c>
      <c r="AK445" t="s">
        <v>5481</v>
      </c>
      <c r="AL445" t="s">
        <v>5481</v>
      </c>
      <c r="AM445" t="s">
        <v>76</v>
      </c>
      <c r="AO445" t="s">
        <v>5481</v>
      </c>
      <c r="AP445" t="s">
        <v>5482</v>
      </c>
      <c r="AQ445" t="s">
        <v>80</v>
      </c>
      <c r="AV445" t="s">
        <v>5483</v>
      </c>
    </row>
    <row r="446" spans="1:49">
      <c r="A446" t="str">
        <f t="shared" si="19"/>
        <v>25</v>
      </c>
      <c r="B446" t="s">
        <v>5178</v>
      </c>
      <c r="C446" t="str">
        <f>"2720"</f>
        <v>2720</v>
      </c>
      <c r="D446" t="s">
        <v>5484</v>
      </c>
      <c r="F446" t="s">
        <v>77</v>
      </c>
      <c r="G446" t="s">
        <v>120</v>
      </c>
      <c r="H446" t="s">
        <v>5485</v>
      </c>
      <c r="I446" t="s">
        <v>89</v>
      </c>
      <c r="J446" s="2" t="s">
        <v>5486</v>
      </c>
      <c r="K446" t="s">
        <v>5487</v>
      </c>
      <c r="L446" t="s">
        <v>60</v>
      </c>
      <c r="M446" t="s">
        <v>5488</v>
      </c>
      <c r="N446" t="s">
        <v>62</v>
      </c>
      <c r="O446" t="str">
        <f>"07739"</f>
        <v>07739</v>
      </c>
      <c r="P446" t="s">
        <v>5487</v>
      </c>
      <c r="S446" t="s">
        <v>5488</v>
      </c>
      <c r="T446" t="s">
        <v>62</v>
      </c>
      <c r="U446" t="str">
        <f>"07739"</f>
        <v>07739</v>
      </c>
      <c r="W446" t="s">
        <v>5489</v>
      </c>
      <c r="X446" t="s">
        <v>54</v>
      </c>
      <c r="Y446" t="s">
        <v>5490</v>
      </c>
      <c r="Z446" t="s">
        <v>5491</v>
      </c>
      <c r="AA446" t="s">
        <v>112</v>
      </c>
      <c r="AB446" t="s">
        <v>70</v>
      </c>
      <c r="AC446" t="s">
        <v>162</v>
      </c>
      <c r="AD446" t="s">
        <v>5492</v>
      </c>
      <c r="AE446" t="s">
        <v>587</v>
      </c>
      <c r="AF446" t="s">
        <v>77</v>
      </c>
      <c r="AG446" t="s">
        <v>1418</v>
      </c>
      <c r="AH446" t="s">
        <v>5493</v>
      </c>
      <c r="AI446" t="s">
        <v>73</v>
      </c>
      <c r="AJ446" t="s">
        <v>54</v>
      </c>
      <c r="AK446" t="s">
        <v>1353</v>
      </c>
      <c r="AL446" t="s">
        <v>5494</v>
      </c>
      <c r="AM446" t="s">
        <v>76</v>
      </c>
      <c r="AN446" t="s">
        <v>77</v>
      </c>
      <c r="AO446" t="s">
        <v>87</v>
      </c>
      <c r="AP446" t="s">
        <v>5495</v>
      </c>
      <c r="AQ446" t="s">
        <v>80</v>
      </c>
      <c r="AR446" t="s">
        <v>54</v>
      </c>
      <c r="AS446" t="s">
        <v>113</v>
      </c>
      <c r="AT446" t="s">
        <v>5496</v>
      </c>
      <c r="AU446" t="s">
        <v>83</v>
      </c>
      <c r="AV446" t="s">
        <v>5497</v>
      </c>
      <c r="AW446" t="str">
        <f>"3408790"</f>
        <v>3408790</v>
      </c>
    </row>
    <row r="447" spans="1:49">
      <c r="A447" t="str">
        <f t="shared" si="19"/>
        <v>25</v>
      </c>
      <c r="B447" t="s">
        <v>5178</v>
      </c>
      <c r="C447" t="str">
        <f>"5645"</f>
        <v>5645</v>
      </c>
      <c r="D447" t="s">
        <v>5498</v>
      </c>
      <c r="G447" t="s">
        <v>5499</v>
      </c>
      <c r="H447" t="s">
        <v>5499</v>
      </c>
      <c r="I447" t="s">
        <v>89</v>
      </c>
      <c r="J447" s="2" t="s">
        <v>5500</v>
      </c>
      <c r="K447" t="s">
        <v>5501</v>
      </c>
      <c r="L447" t="s">
        <v>60</v>
      </c>
      <c r="M447" t="s">
        <v>5502</v>
      </c>
      <c r="N447" t="s">
        <v>62</v>
      </c>
      <c r="O447" t="str">
        <f>"07711"</f>
        <v>07711</v>
      </c>
      <c r="P447" t="s">
        <v>5501</v>
      </c>
      <c r="S447" t="s">
        <v>5502</v>
      </c>
      <c r="T447" t="s">
        <v>62</v>
      </c>
      <c r="U447" t="str">
        <f>"07711"</f>
        <v>07711</v>
      </c>
      <c r="W447">
        <v>7325314740</v>
      </c>
      <c r="X447" t="s">
        <v>77</v>
      </c>
      <c r="Y447" t="s">
        <v>2683</v>
      </c>
      <c r="Z447" t="s">
        <v>2376</v>
      </c>
      <c r="AA447" t="s">
        <v>135</v>
      </c>
      <c r="AV447" t="s">
        <v>5503</v>
      </c>
      <c r="AW447" t="str">
        <f>"0000000"</f>
        <v>0000000</v>
      </c>
    </row>
    <row r="448" spans="1:49">
      <c r="A448" t="str">
        <f t="shared" si="19"/>
        <v>25</v>
      </c>
      <c r="B448" t="s">
        <v>5178</v>
      </c>
      <c r="C448" t="str">
        <f>"2770"</f>
        <v>2770</v>
      </c>
      <c r="D448" t="s">
        <v>5504</v>
      </c>
      <c r="F448" t="s">
        <v>77</v>
      </c>
      <c r="G448" t="s">
        <v>5505</v>
      </c>
      <c r="H448" t="s">
        <v>1181</v>
      </c>
      <c r="I448" t="s">
        <v>89</v>
      </c>
      <c r="J448" s="2" t="s">
        <v>5506</v>
      </c>
      <c r="K448" t="s">
        <v>5507</v>
      </c>
      <c r="L448" t="s">
        <v>60</v>
      </c>
      <c r="M448" t="s">
        <v>5508</v>
      </c>
      <c r="N448" t="s">
        <v>62</v>
      </c>
      <c r="O448" t="str">
        <f>"07740"</f>
        <v>07740</v>
      </c>
      <c r="P448" t="s">
        <v>5507</v>
      </c>
      <c r="S448" t="s">
        <v>5508</v>
      </c>
      <c r="T448" t="s">
        <v>62</v>
      </c>
      <c r="U448" t="str">
        <f>"07740"</f>
        <v>07740</v>
      </c>
      <c r="W448" t="s">
        <v>5509</v>
      </c>
      <c r="X448" t="s">
        <v>77</v>
      </c>
      <c r="Y448" t="s">
        <v>994</v>
      </c>
      <c r="Z448" t="s">
        <v>5510</v>
      </c>
      <c r="AA448" t="s">
        <v>68</v>
      </c>
      <c r="AB448" t="s">
        <v>54</v>
      </c>
      <c r="AC448" t="s">
        <v>5511</v>
      </c>
      <c r="AD448" t="s">
        <v>5512</v>
      </c>
      <c r="AE448" t="s">
        <v>98</v>
      </c>
      <c r="AF448" t="s">
        <v>54</v>
      </c>
      <c r="AG448" t="s">
        <v>5513</v>
      </c>
      <c r="AH448" t="s">
        <v>5514</v>
      </c>
      <c r="AI448" t="s">
        <v>73</v>
      </c>
      <c r="AJ448" t="s">
        <v>54</v>
      </c>
      <c r="AK448" t="s">
        <v>5515</v>
      </c>
      <c r="AL448" t="s">
        <v>5516</v>
      </c>
      <c r="AM448" t="s">
        <v>76</v>
      </c>
      <c r="AN448" t="s">
        <v>77</v>
      </c>
      <c r="AO448" t="s">
        <v>1232</v>
      </c>
      <c r="AP448" t="s">
        <v>5517</v>
      </c>
      <c r="AQ448" t="s">
        <v>80</v>
      </c>
      <c r="AR448" t="s">
        <v>54</v>
      </c>
      <c r="AS448" t="s">
        <v>5513</v>
      </c>
      <c r="AT448" t="s">
        <v>5514</v>
      </c>
      <c r="AU448" t="s">
        <v>83</v>
      </c>
      <c r="AV448" t="s">
        <v>5518</v>
      </c>
      <c r="AW448" t="str">
        <f>"3408940"</f>
        <v>3408940</v>
      </c>
    </row>
    <row r="449" spans="1:49">
      <c r="A449" t="str">
        <f t="shared" si="19"/>
        <v>25</v>
      </c>
      <c r="B449" t="s">
        <v>5178</v>
      </c>
      <c r="C449" t="str">
        <f>"2920"</f>
        <v>2920</v>
      </c>
      <c r="D449" t="s">
        <v>5519</v>
      </c>
      <c r="F449" t="s">
        <v>65</v>
      </c>
      <c r="G449" t="s">
        <v>328</v>
      </c>
      <c r="H449" t="s">
        <v>5520</v>
      </c>
      <c r="I449" t="s">
        <v>89</v>
      </c>
      <c r="J449" s="2" t="s">
        <v>5521</v>
      </c>
      <c r="K449" t="s">
        <v>5522</v>
      </c>
      <c r="L449" t="s">
        <v>60</v>
      </c>
      <c r="M449" t="s">
        <v>5351</v>
      </c>
      <c r="N449" t="s">
        <v>62</v>
      </c>
      <c r="O449" t="str">
        <f>"07726"</f>
        <v>07726</v>
      </c>
      <c r="P449" t="s">
        <v>5522</v>
      </c>
      <c r="S449" t="s">
        <v>5351</v>
      </c>
      <c r="T449" t="s">
        <v>62</v>
      </c>
      <c r="U449" t="str">
        <f>"07726"</f>
        <v>07726</v>
      </c>
      <c r="W449" t="s">
        <v>5523</v>
      </c>
      <c r="X449" t="s">
        <v>70</v>
      </c>
      <c r="Y449" t="s">
        <v>4835</v>
      </c>
      <c r="Z449" t="s">
        <v>5524</v>
      </c>
      <c r="AA449" t="s">
        <v>68</v>
      </c>
      <c r="AB449" t="s">
        <v>54</v>
      </c>
      <c r="AC449" t="s">
        <v>5525</v>
      </c>
      <c r="AD449" t="s">
        <v>5526</v>
      </c>
      <c r="AE449" t="s">
        <v>98</v>
      </c>
      <c r="AF449" t="s">
        <v>54</v>
      </c>
      <c r="AG449" t="s">
        <v>5458</v>
      </c>
      <c r="AH449" t="s">
        <v>5527</v>
      </c>
      <c r="AI449" t="s">
        <v>73</v>
      </c>
      <c r="AJ449" t="s">
        <v>70</v>
      </c>
      <c r="AK449" t="s">
        <v>371</v>
      </c>
      <c r="AL449" t="s">
        <v>5528</v>
      </c>
      <c r="AM449" t="s">
        <v>76</v>
      </c>
      <c r="AN449" t="s">
        <v>77</v>
      </c>
      <c r="AO449" t="s">
        <v>120</v>
      </c>
      <c r="AP449" t="s">
        <v>5529</v>
      </c>
      <c r="AQ449" t="s">
        <v>80</v>
      </c>
      <c r="AR449" t="s">
        <v>77</v>
      </c>
      <c r="AS449" t="s">
        <v>223</v>
      </c>
      <c r="AT449" t="s">
        <v>5530</v>
      </c>
      <c r="AU449" t="s">
        <v>83</v>
      </c>
      <c r="AV449" t="s">
        <v>5531</v>
      </c>
      <c r="AW449" t="str">
        <f>"3409390"</f>
        <v>3409390</v>
      </c>
    </row>
    <row r="450" spans="1:49">
      <c r="A450" t="str">
        <f t="shared" si="19"/>
        <v>25</v>
      </c>
      <c r="B450" t="s">
        <v>5178</v>
      </c>
      <c r="C450" t="str">
        <f>"2930"</f>
        <v>2930</v>
      </c>
      <c r="D450" t="s">
        <v>5532</v>
      </c>
      <c r="F450" t="s">
        <v>65</v>
      </c>
      <c r="G450" t="s">
        <v>373</v>
      </c>
      <c r="H450" t="s">
        <v>5533</v>
      </c>
      <c r="I450" t="s">
        <v>89</v>
      </c>
      <c r="J450" s="2" t="s">
        <v>5534</v>
      </c>
      <c r="K450" t="s">
        <v>5535</v>
      </c>
      <c r="L450" t="s">
        <v>60</v>
      </c>
      <c r="M450" t="s">
        <v>5536</v>
      </c>
      <c r="N450" t="s">
        <v>62</v>
      </c>
      <c r="O450" t="str">
        <f>"08736"</f>
        <v>08736</v>
      </c>
      <c r="P450" t="s">
        <v>5535</v>
      </c>
      <c r="S450" t="s">
        <v>5536</v>
      </c>
      <c r="T450" t="s">
        <v>62</v>
      </c>
      <c r="U450" t="str">
        <f>"08736"</f>
        <v>08736</v>
      </c>
      <c r="W450" t="s">
        <v>5537</v>
      </c>
      <c r="X450" t="s">
        <v>65</v>
      </c>
      <c r="Y450" t="s">
        <v>994</v>
      </c>
      <c r="Z450" t="s">
        <v>5538</v>
      </c>
      <c r="AA450" t="s">
        <v>68</v>
      </c>
      <c r="AB450" t="s">
        <v>54</v>
      </c>
      <c r="AC450" t="s">
        <v>1298</v>
      </c>
      <c r="AD450" t="s">
        <v>5539</v>
      </c>
      <c r="AE450" t="s">
        <v>98</v>
      </c>
      <c r="AF450" t="s">
        <v>77</v>
      </c>
      <c r="AG450" t="s">
        <v>4838</v>
      </c>
      <c r="AH450" t="s">
        <v>2002</v>
      </c>
      <c r="AI450" t="s">
        <v>73</v>
      </c>
      <c r="AJ450" t="s">
        <v>70</v>
      </c>
      <c r="AK450" t="s">
        <v>5540</v>
      </c>
      <c r="AL450" t="s">
        <v>5541</v>
      </c>
      <c r="AM450" t="s">
        <v>76</v>
      </c>
      <c r="AN450" t="s">
        <v>77</v>
      </c>
      <c r="AO450" t="s">
        <v>3602</v>
      </c>
      <c r="AP450" t="s">
        <v>5542</v>
      </c>
      <c r="AQ450" t="s">
        <v>80</v>
      </c>
      <c r="AR450" t="s">
        <v>77</v>
      </c>
      <c r="AS450" t="s">
        <v>509</v>
      </c>
      <c r="AT450" t="s">
        <v>3032</v>
      </c>
      <c r="AU450" t="s">
        <v>83</v>
      </c>
      <c r="AV450" t="s">
        <v>5543</v>
      </c>
      <c r="AW450" t="str">
        <f>"3409420"</f>
        <v>3409420</v>
      </c>
    </row>
    <row r="451" spans="1:49">
      <c r="A451" t="str">
        <f t="shared" si="19"/>
        <v>25</v>
      </c>
      <c r="B451" t="s">
        <v>5178</v>
      </c>
      <c r="C451" t="str">
        <f>"3030"</f>
        <v>3030</v>
      </c>
      <c r="D451" t="s">
        <v>5544</v>
      </c>
      <c r="F451" t="s">
        <v>65</v>
      </c>
      <c r="G451" t="s">
        <v>1418</v>
      </c>
      <c r="H451" t="s">
        <v>5545</v>
      </c>
      <c r="I451" t="s">
        <v>57</v>
      </c>
      <c r="J451" s="2" t="s">
        <v>5546</v>
      </c>
      <c r="K451" t="s">
        <v>5547</v>
      </c>
      <c r="L451" t="s">
        <v>60</v>
      </c>
      <c r="M451" t="s">
        <v>5548</v>
      </c>
      <c r="N451" t="s">
        <v>62</v>
      </c>
      <c r="O451" t="str">
        <f>"07746"</f>
        <v>07746</v>
      </c>
      <c r="P451" t="s">
        <v>5547</v>
      </c>
      <c r="S451" t="s">
        <v>5548</v>
      </c>
      <c r="T451" t="s">
        <v>62</v>
      </c>
      <c r="U451" t="str">
        <f>"07746"</f>
        <v>07746</v>
      </c>
      <c r="W451" t="s">
        <v>5549</v>
      </c>
      <c r="X451" t="s">
        <v>77</v>
      </c>
      <c r="Y451" t="s">
        <v>687</v>
      </c>
      <c r="Z451" t="s">
        <v>5550</v>
      </c>
      <c r="AA451" t="s">
        <v>135</v>
      </c>
      <c r="AB451" t="s">
        <v>70</v>
      </c>
      <c r="AC451" t="s">
        <v>682</v>
      </c>
      <c r="AD451" t="s">
        <v>3392</v>
      </c>
      <c r="AE451" t="s">
        <v>98</v>
      </c>
      <c r="AF451" t="s">
        <v>54</v>
      </c>
      <c r="AG451" t="s">
        <v>682</v>
      </c>
      <c r="AH451" t="s">
        <v>5551</v>
      </c>
      <c r="AI451" t="s">
        <v>73</v>
      </c>
      <c r="AJ451" t="s">
        <v>77</v>
      </c>
      <c r="AK451" t="s">
        <v>120</v>
      </c>
      <c r="AL451" t="s">
        <v>5552</v>
      </c>
      <c r="AM451" t="s">
        <v>76</v>
      </c>
      <c r="AN451" t="s">
        <v>77</v>
      </c>
      <c r="AO451" t="s">
        <v>1906</v>
      </c>
      <c r="AP451" t="s">
        <v>5553</v>
      </c>
      <c r="AQ451" t="s">
        <v>80</v>
      </c>
      <c r="AR451" t="s">
        <v>77</v>
      </c>
      <c r="AS451" t="s">
        <v>319</v>
      </c>
      <c r="AT451" t="s">
        <v>119</v>
      </c>
      <c r="AU451" t="s">
        <v>83</v>
      </c>
      <c r="AV451" t="s">
        <v>5554</v>
      </c>
      <c r="AW451" t="str">
        <f>"3409720"</f>
        <v>3409720</v>
      </c>
    </row>
    <row r="452" spans="1:49">
      <c r="A452" t="str">
        <f t="shared" si="19"/>
        <v>25</v>
      </c>
      <c r="B452" t="s">
        <v>5178</v>
      </c>
      <c r="C452" t="str">
        <f>"3040"</f>
        <v>3040</v>
      </c>
      <c r="D452" t="s">
        <v>5555</v>
      </c>
      <c r="F452" t="s">
        <v>65</v>
      </c>
      <c r="G452" t="s">
        <v>358</v>
      </c>
      <c r="H452" t="s">
        <v>5556</v>
      </c>
      <c r="I452" t="s">
        <v>89</v>
      </c>
      <c r="J452" s="2" t="s">
        <v>5557</v>
      </c>
      <c r="K452" t="s">
        <v>5558</v>
      </c>
      <c r="L452" t="s">
        <v>60</v>
      </c>
      <c r="M452" t="s">
        <v>5559</v>
      </c>
      <c r="N452" t="s">
        <v>62</v>
      </c>
      <c r="O452" t="str">
        <f>"07747"</f>
        <v>07747</v>
      </c>
      <c r="P452" t="s">
        <v>5558</v>
      </c>
      <c r="S452" t="s">
        <v>5559</v>
      </c>
      <c r="T452" t="s">
        <v>62</v>
      </c>
      <c r="U452" t="str">
        <f>"07747"</f>
        <v>07747</v>
      </c>
      <c r="W452" t="s">
        <v>5560</v>
      </c>
      <c r="X452" t="s">
        <v>77</v>
      </c>
      <c r="Y452" t="s">
        <v>319</v>
      </c>
      <c r="Z452" t="s">
        <v>5561</v>
      </c>
      <c r="AA452" t="s">
        <v>773</v>
      </c>
      <c r="AB452" t="s">
        <v>54</v>
      </c>
      <c r="AC452" t="s">
        <v>5562</v>
      </c>
      <c r="AD452" t="s">
        <v>3617</v>
      </c>
      <c r="AE452" t="s">
        <v>868</v>
      </c>
      <c r="AF452" t="s">
        <v>77</v>
      </c>
      <c r="AG452" t="s">
        <v>120</v>
      </c>
      <c r="AH452" t="s">
        <v>5563</v>
      </c>
      <c r="AI452" t="s">
        <v>73</v>
      </c>
      <c r="AJ452" t="s">
        <v>77</v>
      </c>
      <c r="AK452" t="s">
        <v>328</v>
      </c>
      <c r="AL452" t="s">
        <v>5564</v>
      </c>
      <c r="AM452" t="s">
        <v>76</v>
      </c>
      <c r="AN452" t="s">
        <v>77</v>
      </c>
      <c r="AO452" t="s">
        <v>367</v>
      </c>
      <c r="AP452" t="s">
        <v>5565</v>
      </c>
      <c r="AQ452" t="s">
        <v>80</v>
      </c>
      <c r="AR452" t="s">
        <v>65</v>
      </c>
      <c r="AS452" t="s">
        <v>358</v>
      </c>
      <c r="AT452" t="s">
        <v>5556</v>
      </c>
      <c r="AU452" t="s">
        <v>83</v>
      </c>
      <c r="AV452" t="s">
        <v>5566</v>
      </c>
      <c r="AW452" t="str">
        <f>"3409750"</f>
        <v>3409750</v>
      </c>
    </row>
    <row r="453" spans="1:49">
      <c r="A453" t="str">
        <f t="shared" si="19"/>
        <v>25</v>
      </c>
      <c r="B453" t="s">
        <v>5178</v>
      </c>
      <c r="C453" t="str">
        <f>"3160"</f>
        <v>3160</v>
      </c>
      <c r="D453" t="s">
        <v>5567</v>
      </c>
      <c r="F453" t="s">
        <v>54</v>
      </c>
      <c r="G453" t="s">
        <v>838</v>
      </c>
      <c r="H453" t="s">
        <v>4177</v>
      </c>
      <c r="I453" t="s">
        <v>89</v>
      </c>
      <c r="J453" s="2" t="s">
        <v>5568</v>
      </c>
      <c r="K453" t="s">
        <v>5569</v>
      </c>
      <c r="L453" t="s">
        <v>5570</v>
      </c>
      <c r="M453" t="s">
        <v>5571</v>
      </c>
      <c r="N453" t="s">
        <v>62</v>
      </c>
      <c r="O453" t="str">
        <f>"07737"</f>
        <v>07737</v>
      </c>
      <c r="P453" t="s">
        <v>5572</v>
      </c>
      <c r="S453" t="s">
        <v>5573</v>
      </c>
      <c r="T453" t="s">
        <v>62</v>
      </c>
      <c r="U453" t="str">
        <f>"07748"</f>
        <v>07748</v>
      </c>
      <c r="W453" t="s">
        <v>5574</v>
      </c>
      <c r="X453" t="s">
        <v>54</v>
      </c>
      <c r="Y453" t="s">
        <v>2012</v>
      </c>
      <c r="Z453" t="s">
        <v>5575</v>
      </c>
      <c r="AA453" t="s">
        <v>135</v>
      </c>
      <c r="AB453" t="s">
        <v>54</v>
      </c>
      <c r="AC453" t="s">
        <v>291</v>
      </c>
      <c r="AD453" t="s">
        <v>5576</v>
      </c>
      <c r="AE453" t="s">
        <v>587</v>
      </c>
      <c r="AF453" t="s">
        <v>77</v>
      </c>
      <c r="AG453" t="s">
        <v>281</v>
      </c>
      <c r="AH453" t="s">
        <v>5577</v>
      </c>
      <c r="AI453" t="s">
        <v>73</v>
      </c>
      <c r="AJ453" t="s">
        <v>54</v>
      </c>
      <c r="AK453" t="s">
        <v>5578</v>
      </c>
      <c r="AL453" t="s">
        <v>5579</v>
      </c>
      <c r="AM453" t="s">
        <v>76</v>
      </c>
      <c r="AN453" t="s">
        <v>77</v>
      </c>
      <c r="AO453" t="s">
        <v>190</v>
      </c>
      <c r="AP453" t="s">
        <v>5580</v>
      </c>
      <c r="AQ453" t="s">
        <v>80</v>
      </c>
      <c r="AR453" t="s">
        <v>77</v>
      </c>
      <c r="AS453" t="s">
        <v>328</v>
      </c>
      <c r="AT453" t="s">
        <v>5581</v>
      </c>
      <c r="AU453" t="s">
        <v>83</v>
      </c>
      <c r="AV453" t="s">
        <v>5582</v>
      </c>
      <c r="AW453" t="str">
        <f>"3410110"</f>
        <v>3410110</v>
      </c>
    </row>
    <row r="454" spans="1:49">
      <c r="A454" t="str">
        <f t="shared" si="19"/>
        <v>25</v>
      </c>
      <c r="B454" t="s">
        <v>5178</v>
      </c>
      <c r="C454" t="str">
        <f>"3200"</f>
        <v>3200</v>
      </c>
      <c r="D454" t="s">
        <v>5583</v>
      </c>
      <c r="F454" t="s">
        <v>65</v>
      </c>
      <c r="G454" t="s">
        <v>287</v>
      </c>
      <c r="H454" t="s">
        <v>5584</v>
      </c>
      <c r="I454" t="s">
        <v>89</v>
      </c>
      <c r="J454" s="2" t="s">
        <v>5585</v>
      </c>
      <c r="K454" t="s">
        <v>5586</v>
      </c>
      <c r="L454" t="s">
        <v>60</v>
      </c>
      <c r="M454" t="s">
        <v>5587</v>
      </c>
      <c r="N454" t="s">
        <v>62</v>
      </c>
      <c r="O454" t="s">
        <v>5588</v>
      </c>
      <c r="P454" t="s">
        <v>5586</v>
      </c>
      <c r="S454" t="s">
        <v>5587</v>
      </c>
      <c r="T454" t="s">
        <v>62</v>
      </c>
      <c r="U454" t="str">
        <f>"08535"</f>
        <v>08535</v>
      </c>
      <c r="V454" t="str">
        <f>"8118"</f>
        <v>8118</v>
      </c>
      <c r="W454" t="s">
        <v>5589</v>
      </c>
      <c r="X454" t="s">
        <v>77</v>
      </c>
      <c r="Y454" t="s">
        <v>4880</v>
      </c>
      <c r="Z454" t="s">
        <v>5590</v>
      </c>
      <c r="AA454" t="s">
        <v>68</v>
      </c>
      <c r="AB454" t="s">
        <v>54</v>
      </c>
      <c r="AC454" t="s">
        <v>2874</v>
      </c>
      <c r="AD454" t="s">
        <v>5591</v>
      </c>
      <c r="AE454" t="s">
        <v>98</v>
      </c>
      <c r="AF454" t="s">
        <v>77</v>
      </c>
      <c r="AG454" t="s">
        <v>436</v>
      </c>
      <c r="AH454" t="s">
        <v>5592</v>
      </c>
      <c r="AI454" t="s">
        <v>73</v>
      </c>
      <c r="AJ454" t="s">
        <v>54</v>
      </c>
      <c r="AK454" t="s">
        <v>429</v>
      </c>
      <c r="AL454" t="s">
        <v>101</v>
      </c>
      <c r="AM454" t="s">
        <v>76</v>
      </c>
      <c r="AN454" t="s">
        <v>77</v>
      </c>
      <c r="AO454" t="s">
        <v>190</v>
      </c>
      <c r="AP454" t="s">
        <v>5593</v>
      </c>
      <c r="AQ454" t="s">
        <v>80</v>
      </c>
      <c r="AR454" t="s">
        <v>77</v>
      </c>
      <c r="AS454" t="s">
        <v>436</v>
      </c>
      <c r="AT454" t="s">
        <v>5592</v>
      </c>
      <c r="AU454" t="s">
        <v>83</v>
      </c>
      <c r="AV454" t="s">
        <v>5594</v>
      </c>
      <c r="AW454" t="str">
        <f>"3410230"</f>
        <v>3410230</v>
      </c>
    </row>
    <row r="455" spans="1:49">
      <c r="A455" t="str">
        <f t="shared" si="19"/>
        <v>25</v>
      </c>
      <c r="B455" t="s">
        <v>5178</v>
      </c>
      <c r="C455" t="str">
        <f>"3250"</f>
        <v>3250</v>
      </c>
      <c r="D455" t="s">
        <v>5595</v>
      </c>
      <c r="F455" t="s">
        <v>54</v>
      </c>
      <c r="G455" t="s">
        <v>928</v>
      </c>
      <c r="H455" t="s">
        <v>5596</v>
      </c>
      <c r="I455" t="s">
        <v>57</v>
      </c>
      <c r="J455" s="2" t="s">
        <v>5597</v>
      </c>
      <c r="K455" t="s">
        <v>5598</v>
      </c>
      <c r="L455" t="s">
        <v>60</v>
      </c>
      <c r="M455" t="s">
        <v>5599</v>
      </c>
      <c r="N455" t="s">
        <v>62</v>
      </c>
      <c r="O455" t="str">
        <f>"07750"</f>
        <v>07750</v>
      </c>
      <c r="P455" t="s">
        <v>5598</v>
      </c>
      <c r="S455" t="s">
        <v>5599</v>
      </c>
      <c r="T455" t="s">
        <v>62</v>
      </c>
      <c r="U455" t="str">
        <f>"07750"</f>
        <v>07750</v>
      </c>
      <c r="W455" t="s">
        <v>5600</v>
      </c>
      <c r="X455" t="s">
        <v>77</v>
      </c>
      <c r="Y455" t="s">
        <v>994</v>
      </c>
      <c r="Z455" t="s">
        <v>5510</v>
      </c>
      <c r="AA455" t="s">
        <v>135</v>
      </c>
      <c r="AB455" t="s">
        <v>54</v>
      </c>
      <c r="AC455" t="s">
        <v>928</v>
      </c>
      <c r="AD455" t="s">
        <v>5596</v>
      </c>
      <c r="AE455" t="s">
        <v>181</v>
      </c>
      <c r="AF455" t="s">
        <v>54</v>
      </c>
      <c r="AG455" t="s">
        <v>928</v>
      </c>
      <c r="AH455" t="s">
        <v>5596</v>
      </c>
      <c r="AI455" t="s">
        <v>73</v>
      </c>
      <c r="AJ455" t="s">
        <v>54</v>
      </c>
      <c r="AK455" t="s">
        <v>928</v>
      </c>
      <c r="AL455" t="s">
        <v>5596</v>
      </c>
      <c r="AM455" t="s">
        <v>76</v>
      </c>
      <c r="AN455" t="s">
        <v>77</v>
      </c>
      <c r="AO455" t="s">
        <v>287</v>
      </c>
      <c r="AP455" t="s">
        <v>5517</v>
      </c>
      <c r="AQ455" t="s">
        <v>80</v>
      </c>
      <c r="AR455" t="s">
        <v>54</v>
      </c>
      <c r="AS455" t="s">
        <v>928</v>
      </c>
      <c r="AT455" t="s">
        <v>5596</v>
      </c>
      <c r="AU455" t="s">
        <v>83</v>
      </c>
      <c r="AV455" t="s">
        <v>5601</v>
      </c>
      <c r="AW455" t="str">
        <f>"3410380"</f>
        <v>3410380</v>
      </c>
    </row>
    <row r="456" spans="1:49">
      <c r="A456" t="str">
        <f t="shared" si="19"/>
        <v>25</v>
      </c>
      <c r="B456" t="s">
        <v>5178</v>
      </c>
      <c r="C456" t="str">
        <f>"3260"</f>
        <v>3260</v>
      </c>
      <c r="D456" t="s">
        <v>5602</v>
      </c>
      <c r="F456" t="s">
        <v>65</v>
      </c>
      <c r="G456" t="s">
        <v>1012</v>
      </c>
      <c r="H456" t="s">
        <v>2661</v>
      </c>
      <c r="I456" t="s">
        <v>89</v>
      </c>
      <c r="J456" s="2" t="s">
        <v>5603</v>
      </c>
      <c r="K456" t="s">
        <v>5604</v>
      </c>
      <c r="L456" t="s">
        <v>60</v>
      </c>
      <c r="M456" t="s">
        <v>5340</v>
      </c>
      <c r="N456" t="s">
        <v>62</v>
      </c>
      <c r="O456" t="s">
        <v>5605</v>
      </c>
      <c r="P456" t="s">
        <v>5604</v>
      </c>
      <c r="S456" t="s">
        <v>5340</v>
      </c>
      <c r="T456" t="s">
        <v>62</v>
      </c>
      <c r="U456" t="str">
        <f>"07728"</f>
        <v>07728</v>
      </c>
      <c r="V456" t="str">
        <f>"5033"</f>
        <v>5033</v>
      </c>
      <c r="W456" t="s">
        <v>5606</v>
      </c>
      <c r="X456" t="s">
        <v>70</v>
      </c>
      <c r="Y456" t="s">
        <v>5607</v>
      </c>
      <c r="Z456" t="s">
        <v>5608</v>
      </c>
      <c r="AA456" t="s">
        <v>68</v>
      </c>
      <c r="AB456" t="s">
        <v>77</v>
      </c>
      <c r="AC456" t="s">
        <v>358</v>
      </c>
      <c r="AD456" t="s">
        <v>5609</v>
      </c>
      <c r="AE456" t="s">
        <v>98</v>
      </c>
      <c r="AF456" t="s">
        <v>77</v>
      </c>
      <c r="AG456" t="s">
        <v>570</v>
      </c>
      <c r="AH456" t="s">
        <v>3873</v>
      </c>
      <c r="AI456" t="s">
        <v>73</v>
      </c>
      <c r="AJ456" t="s">
        <v>77</v>
      </c>
      <c r="AK456" t="s">
        <v>358</v>
      </c>
      <c r="AL456" t="s">
        <v>5609</v>
      </c>
      <c r="AM456" t="s">
        <v>76</v>
      </c>
      <c r="AN456" t="s">
        <v>77</v>
      </c>
      <c r="AO456" t="s">
        <v>287</v>
      </c>
      <c r="AP456" t="s">
        <v>5610</v>
      </c>
      <c r="AQ456" t="s">
        <v>80</v>
      </c>
      <c r="AR456" t="s">
        <v>77</v>
      </c>
      <c r="AS456" t="s">
        <v>570</v>
      </c>
      <c r="AT456" t="s">
        <v>3873</v>
      </c>
      <c r="AU456" t="s">
        <v>83</v>
      </c>
      <c r="AV456" t="s">
        <v>5611</v>
      </c>
      <c r="AW456" t="str">
        <f>"3417500"</f>
        <v>3417500</v>
      </c>
    </row>
    <row r="457" spans="1:49">
      <c r="A457" t="str">
        <f t="shared" si="19"/>
        <v>25</v>
      </c>
      <c r="B457" t="s">
        <v>5178</v>
      </c>
      <c r="C457" t="str">
        <f>"3270"</f>
        <v>3270</v>
      </c>
      <c r="D457" t="s">
        <v>5612</v>
      </c>
      <c r="F457" t="s">
        <v>77</v>
      </c>
      <c r="G457" t="s">
        <v>422</v>
      </c>
      <c r="H457" t="s">
        <v>5613</v>
      </c>
      <c r="I457" t="s">
        <v>89</v>
      </c>
      <c r="J457" s="2" t="s">
        <v>5614</v>
      </c>
      <c r="K457" t="s">
        <v>5615</v>
      </c>
      <c r="L457" t="s">
        <v>60</v>
      </c>
      <c r="M457" t="s">
        <v>5228</v>
      </c>
      <c r="N457" t="s">
        <v>62</v>
      </c>
      <c r="O457" t="str">
        <f>"07724"</f>
        <v>07724</v>
      </c>
      <c r="P457" t="s">
        <v>5615</v>
      </c>
      <c r="S457" t="s">
        <v>5228</v>
      </c>
      <c r="T457" t="s">
        <v>62</v>
      </c>
      <c r="U457" t="str">
        <f>"07724"</f>
        <v>07724</v>
      </c>
      <c r="W457" t="s">
        <v>5616</v>
      </c>
      <c r="X457" t="s">
        <v>54</v>
      </c>
      <c r="Y457" t="s">
        <v>536</v>
      </c>
      <c r="Z457" t="s">
        <v>5617</v>
      </c>
      <c r="AA457" t="s">
        <v>135</v>
      </c>
      <c r="AB457" t="s">
        <v>54</v>
      </c>
      <c r="AC457" t="s">
        <v>5449</v>
      </c>
      <c r="AD457" t="s">
        <v>5618</v>
      </c>
      <c r="AE457" t="s">
        <v>181</v>
      </c>
      <c r="AF457" t="s">
        <v>54</v>
      </c>
      <c r="AG457" t="s">
        <v>186</v>
      </c>
      <c r="AH457" t="s">
        <v>5619</v>
      </c>
      <c r="AI457" t="s">
        <v>73</v>
      </c>
      <c r="AJ457" t="s">
        <v>54</v>
      </c>
      <c r="AK457" t="s">
        <v>2012</v>
      </c>
      <c r="AL457" t="s">
        <v>649</v>
      </c>
      <c r="AM457" t="s">
        <v>76</v>
      </c>
      <c r="AN457" t="s">
        <v>77</v>
      </c>
      <c r="AO457" t="s">
        <v>3926</v>
      </c>
      <c r="AP457" t="s">
        <v>5620</v>
      </c>
      <c r="AQ457" t="s">
        <v>80</v>
      </c>
      <c r="AR457" t="s">
        <v>77</v>
      </c>
      <c r="AS457" t="s">
        <v>3169</v>
      </c>
      <c r="AT457" t="s">
        <v>5621</v>
      </c>
      <c r="AU457" t="s">
        <v>83</v>
      </c>
      <c r="AV457" t="s">
        <v>5622</v>
      </c>
      <c r="AW457" t="str">
        <f>"3410440"</f>
        <v>3410440</v>
      </c>
    </row>
    <row r="458" spans="1:49">
      <c r="A458" t="str">
        <f t="shared" si="19"/>
        <v>25</v>
      </c>
      <c r="B458" t="s">
        <v>5178</v>
      </c>
      <c r="C458" t="str">
        <f>"3255"</f>
        <v>3255</v>
      </c>
      <c r="D458" t="s">
        <v>5623</v>
      </c>
      <c r="F458" t="s">
        <v>65</v>
      </c>
      <c r="G458" t="s">
        <v>1748</v>
      </c>
      <c r="H458" t="s">
        <v>5225</v>
      </c>
      <c r="I458" t="s">
        <v>1518</v>
      </c>
      <c r="J458" s="2" t="s">
        <v>5226</v>
      </c>
      <c r="K458" t="s">
        <v>5624</v>
      </c>
      <c r="L458" t="s">
        <v>60</v>
      </c>
      <c r="M458" t="s">
        <v>5228</v>
      </c>
      <c r="N458" t="s">
        <v>62</v>
      </c>
      <c r="O458" t="str">
        <f>"07712"</f>
        <v>07712</v>
      </c>
      <c r="P458" t="s">
        <v>5624</v>
      </c>
      <c r="S458" t="s">
        <v>5228</v>
      </c>
      <c r="T458" t="s">
        <v>62</v>
      </c>
      <c r="U458" t="str">
        <f>"07712"</f>
        <v>07712</v>
      </c>
      <c r="W458">
        <v>7326957822</v>
      </c>
      <c r="X458" t="s">
        <v>70</v>
      </c>
      <c r="Y458" t="s">
        <v>771</v>
      </c>
      <c r="Z458" t="s">
        <v>5625</v>
      </c>
      <c r="AA458" t="s">
        <v>135</v>
      </c>
      <c r="AB458" t="s">
        <v>54</v>
      </c>
      <c r="AC458" t="s">
        <v>1284</v>
      </c>
      <c r="AD458" t="s">
        <v>5626</v>
      </c>
      <c r="AE458" t="s">
        <v>98</v>
      </c>
      <c r="AF458" t="s">
        <v>54</v>
      </c>
      <c r="AG458" t="s">
        <v>771</v>
      </c>
      <c r="AH458" t="s">
        <v>1622</v>
      </c>
      <c r="AI458" t="s">
        <v>73</v>
      </c>
      <c r="AJ458" t="s">
        <v>65</v>
      </c>
      <c r="AK458" t="s">
        <v>1748</v>
      </c>
      <c r="AL458" t="s">
        <v>5225</v>
      </c>
      <c r="AM458" t="s">
        <v>76</v>
      </c>
      <c r="AN458" t="s">
        <v>77</v>
      </c>
      <c r="AO458" t="s">
        <v>358</v>
      </c>
      <c r="AP458" t="s">
        <v>5627</v>
      </c>
      <c r="AQ458" t="s">
        <v>80</v>
      </c>
      <c r="AR458" t="s">
        <v>77</v>
      </c>
      <c r="AS458" t="s">
        <v>358</v>
      </c>
      <c r="AT458" t="s">
        <v>5627</v>
      </c>
      <c r="AU458" t="s">
        <v>83</v>
      </c>
      <c r="AV458" t="s">
        <v>5628</v>
      </c>
      <c r="AW458" t="str">
        <f>"3480240"</f>
        <v>3480240</v>
      </c>
    </row>
    <row r="459" spans="1:49">
      <c r="A459" t="str">
        <f t="shared" si="19"/>
        <v>25</v>
      </c>
      <c r="B459" t="s">
        <v>5178</v>
      </c>
      <c r="C459" t="str">
        <f>"3500"</f>
        <v>3500</v>
      </c>
      <c r="D459" t="s">
        <v>5629</v>
      </c>
      <c r="F459" t="s">
        <v>65</v>
      </c>
      <c r="G459" t="s">
        <v>1479</v>
      </c>
      <c r="H459" t="s">
        <v>5630</v>
      </c>
      <c r="I459" t="s">
        <v>57</v>
      </c>
      <c r="J459" s="2" t="s">
        <v>5631</v>
      </c>
      <c r="K459" t="s">
        <v>5632</v>
      </c>
      <c r="L459" t="s">
        <v>60</v>
      </c>
      <c r="M459" t="s">
        <v>5633</v>
      </c>
      <c r="N459" t="s">
        <v>62</v>
      </c>
      <c r="O459" t="str">
        <f>"07753"</f>
        <v>07753</v>
      </c>
      <c r="P459" t="s">
        <v>5632</v>
      </c>
      <c r="S459" t="s">
        <v>5633</v>
      </c>
      <c r="T459" t="s">
        <v>62</v>
      </c>
      <c r="U459" t="str">
        <f>"07753"</f>
        <v>07753</v>
      </c>
      <c r="W459" t="s">
        <v>5634</v>
      </c>
      <c r="X459" t="s">
        <v>70</v>
      </c>
      <c r="Y459" t="s">
        <v>5635</v>
      </c>
      <c r="Z459" t="s">
        <v>5636</v>
      </c>
      <c r="AA459" t="s">
        <v>135</v>
      </c>
      <c r="AB459" t="s">
        <v>54</v>
      </c>
      <c r="AC459" t="s">
        <v>5637</v>
      </c>
      <c r="AD459" t="s">
        <v>5638</v>
      </c>
      <c r="AE459" t="s">
        <v>587</v>
      </c>
      <c r="AF459" t="s">
        <v>70</v>
      </c>
      <c r="AG459" t="s">
        <v>5637</v>
      </c>
      <c r="AH459" t="s">
        <v>5638</v>
      </c>
      <c r="AI459" t="s">
        <v>73</v>
      </c>
      <c r="AJ459" t="s">
        <v>65</v>
      </c>
      <c r="AK459" t="s">
        <v>1479</v>
      </c>
      <c r="AL459" t="s">
        <v>5630</v>
      </c>
      <c r="AM459" t="s">
        <v>76</v>
      </c>
      <c r="AN459" t="s">
        <v>77</v>
      </c>
      <c r="AO459" t="s">
        <v>697</v>
      </c>
      <c r="AP459" t="s">
        <v>3128</v>
      </c>
      <c r="AQ459" t="s">
        <v>80</v>
      </c>
      <c r="AR459" t="s">
        <v>65</v>
      </c>
      <c r="AS459" t="s">
        <v>1479</v>
      </c>
      <c r="AT459" t="s">
        <v>5630</v>
      </c>
      <c r="AU459" t="s">
        <v>83</v>
      </c>
      <c r="AV459" t="s">
        <v>5639</v>
      </c>
      <c r="AW459" t="str">
        <f>"3411130"</f>
        <v>3411130</v>
      </c>
    </row>
    <row r="460" spans="1:49">
      <c r="A460" t="str">
        <f t="shared" si="19"/>
        <v>25</v>
      </c>
      <c r="B460" t="s">
        <v>5178</v>
      </c>
      <c r="C460" t="str">
        <f>"3510"</f>
        <v>3510</v>
      </c>
      <c r="D460" t="s">
        <v>5640</v>
      </c>
      <c r="F460" t="s">
        <v>65</v>
      </c>
      <c r="G460" t="s">
        <v>5641</v>
      </c>
      <c r="H460" t="s">
        <v>5642</v>
      </c>
      <c r="I460" t="s">
        <v>57</v>
      </c>
      <c r="J460" s="2" t="s">
        <v>5643</v>
      </c>
      <c r="K460" t="s">
        <v>5644</v>
      </c>
      <c r="L460" t="s">
        <v>60</v>
      </c>
      <c r="M460" t="s">
        <v>5645</v>
      </c>
      <c r="N460" t="s">
        <v>62</v>
      </c>
      <c r="O460" t="str">
        <f>"07753"</f>
        <v>07753</v>
      </c>
      <c r="P460" t="s">
        <v>5644</v>
      </c>
      <c r="S460" t="s">
        <v>5645</v>
      </c>
      <c r="T460" t="s">
        <v>62</v>
      </c>
      <c r="U460" t="str">
        <f>"07753"</f>
        <v>07753</v>
      </c>
      <c r="W460" t="s">
        <v>5646</v>
      </c>
      <c r="X460" t="s">
        <v>77</v>
      </c>
      <c r="Y460" t="s">
        <v>994</v>
      </c>
      <c r="Z460" t="s">
        <v>208</v>
      </c>
      <c r="AA460" t="s">
        <v>68</v>
      </c>
      <c r="AB460" t="s">
        <v>54</v>
      </c>
      <c r="AC460" t="s">
        <v>771</v>
      </c>
      <c r="AD460" t="s">
        <v>5647</v>
      </c>
      <c r="AE460" t="s">
        <v>98</v>
      </c>
      <c r="AF460" t="s">
        <v>77</v>
      </c>
      <c r="AG460" t="s">
        <v>5648</v>
      </c>
      <c r="AH460" t="s">
        <v>5649</v>
      </c>
      <c r="AI460" t="s">
        <v>73</v>
      </c>
      <c r="AJ460" t="s">
        <v>77</v>
      </c>
      <c r="AK460" t="s">
        <v>1012</v>
      </c>
      <c r="AL460" t="s">
        <v>5650</v>
      </c>
      <c r="AM460" t="s">
        <v>76</v>
      </c>
      <c r="AN460" t="s">
        <v>77</v>
      </c>
      <c r="AO460" t="s">
        <v>212</v>
      </c>
      <c r="AP460" t="s">
        <v>454</v>
      </c>
      <c r="AQ460" t="s">
        <v>80</v>
      </c>
      <c r="AR460" t="s">
        <v>77</v>
      </c>
      <c r="AS460" t="s">
        <v>120</v>
      </c>
      <c r="AT460" t="s">
        <v>5651</v>
      </c>
      <c r="AU460" t="s">
        <v>83</v>
      </c>
      <c r="AV460" t="s">
        <v>5652</v>
      </c>
      <c r="AW460" t="str">
        <f>"3411160"</f>
        <v>3411160</v>
      </c>
    </row>
    <row r="461" spans="1:49">
      <c r="A461" t="str">
        <f t="shared" si="19"/>
        <v>25</v>
      </c>
      <c r="B461" t="s">
        <v>5178</v>
      </c>
      <c r="C461" t="str">
        <f>"3830"</f>
        <v>3830</v>
      </c>
      <c r="D461" t="s">
        <v>5653</v>
      </c>
      <c r="F461" t="s">
        <v>65</v>
      </c>
      <c r="G461" t="s">
        <v>932</v>
      </c>
      <c r="H461" t="s">
        <v>8187</v>
      </c>
      <c r="I461" t="s">
        <v>89</v>
      </c>
      <c r="J461" s="3" t="s">
        <v>8188</v>
      </c>
      <c r="K461" t="s">
        <v>5654</v>
      </c>
      <c r="L461" t="s">
        <v>60</v>
      </c>
      <c r="M461" t="s">
        <v>5655</v>
      </c>
      <c r="N461" t="s">
        <v>62</v>
      </c>
      <c r="O461" t="s">
        <v>5656</v>
      </c>
      <c r="P461" t="s">
        <v>5654</v>
      </c>
      <c r="S461" t="s">
        <v>5655</v>
      </c>
      <c r="T461" t="s">
        <v>62</v>
      </c>
      <c r="U461" t="str">
        <f>"07757"</f>
        <v>07757</v>
      </c>
      <c r="V461" t="str">
        <f>"1625"</f>
        <v>1625</v>
      </c>
      <c r="W461" t="s">
        <v>5657</v>
      </c>
      <c r="X461" t="s">
        <v>70</v>
      </c>
      <c r="Y461" t="s">
        <v>5658</v>
      </c>
      <c r="Z461" t="s">
        <v>5659</v>
      </c>
      <c r="AA461" t="s">
        <v>773</v>
      </c>
      <c r="AB461" t="s">
        <v>54</v>
      </c>
      <c r="AC461" t="s">
        <v>71</v>
      </c>
      <c r="AD461" t="s">
        <v>5660</v>
      </c>
      <c r="AE461" t="s">
        <v>913</v>
      </c>
      <c r="AF461" t="s">
        <v>54</v>
      </c>
      <c r="AG461" t="s">
        <v>71</v>
      </c>
      <c r="AH461" t="s">
        <v>5660</v>
      </c>
      <c r="AI461" t="s">
        <v>73</v>
      </c>
      <c r="AJ461" t="s">
        <v>54</v>
      </c>
      <c r="AK461" t="s">
        <v>5661</v>
      </c>
      <c r="AL461" t="s">
        <v>3461</v>
      </c>
      <c r="AM461" t="s">
        <v>76</v>
      </c>
      <c r="AN461" t="s">
        <v>77</v>
      </c>
      <c r="AO461" t="s">
        <v>534</v>
      </c>
      <c r="AP461" t="s">
        <v>5662</v>
      </c>
      <c r="AQ461" t="s">
        <v>80</v>
      </c>
      <c r="AR461" t="s">
        <v>77</v>
      </c>
      <c r="AS461" t="s">
        <v>418</v>
      </c>
      <c r="AT461" t="s">
        <v>5663</v>
      </c>
      <c r="AU461" t="s">
        <v>83</v>
      </c>
      <c r="AV461" t="s">
        <v>5664</v>
      </c>
      <c r="AW461" t="str">
        <f>"3412120"</f>
        <v>3412120</v>
      </c>
    </row>
    <row r="462" spans="1:49">
      <c r="A462" t="str">
        <f t="shared" si="19"/>
        <v>25</v>
      </c>
      <c r="B462" t="s">
        <v>5178</v>
      </c>
      <c r="C462" t="str">
        <f>"4360"</f>
        <v>4360</v>
      </c>
      <c r="D462" t="s">
        <v>5665</v>
      </c>
      <c r="F462" t="s">
        <v>65</v>
      </c>
      <c r="G462" t="s">
        <v>2352</v>
      </c>
      <c r="H462" t="s">
        <v>5666</v>
      </c>
      <c r="I462" t="s">
        <v>89</v>
      </c>
      <c r="J462" s="2" t="s">
        <v>5667</v>
      </c>
      <c r="K462" t="s">
        <v>5668</v>
      </c>
      <c r="L462" t="s">
        <v>60</v>
      </c>
      <c r="M462" t="s">
        <v>5669</v>
      </c>
      <c r="N462" t="s">
        <v>62</v>
      </c>
      <c r="O462" t="str">
        <f>"07701"</f>
        <v>07701</v>
      </c>
      <c r="P462" t="s">
        <v>5668</v>
      </c>
      <c r="S462" t="s">
        <v>5669</v>
      </c>
      <c r="T462" t="s">
        <v>62</v>
      </c>
      <c r="U462" t="str">
        <f>"07701"</f>
        <v>07701</v>
      </c>
      <c r="W462" t="s">
        <v>5670</v>
      </c>
      <c r="X462" t="s">
        <v>54</v>
      </c>
      <c r="Y462" t="s">
        <v>3020</v>
      </c>
      <c r="Z462" t="s">
        <v>5671</v>
      </c>
      <c r="AA462" t="s">
        <v>135</v>
      </c>
      <c r="AB462" t="s">
        <v>54</v>
      </c>
      <c r="AC462" t="s">
        <v>5672</v>
      </c>
      <c r="AD462" t="s">
        <v>1449</v>
      </c>
      <c r="AE462" t="s">
        <v>115</v>
      </c>
      <c r="AF462" t="s">
        <v>54</v>
      </c>
      <c r="AG462" t="s">
        <v>838</v>
      </c>
      <c r="AH462" t="s">
        <v>5673</v>
      </c>
      <c r="AI462" t="s">
        <v>73</v>
      </c>
      <c r="AJ462" t="s">
        <v>77</v>
      </c>
      <c r="AK462" t="s">
        <v>5674</v>
      </c>
      <c r="AL462" t="s">
        <v>5675</v>
      </c>
      <c r="AM462" t="s">
        <v>76</v>
      </c>
      <c r="AN462" t="s">
        <v>77</v>
      </c>
      <c r="AO462" t="s">
        <v>358</v>
      </c>
      <c r="AP462" t="s">
        <v>5676</v>
      </c>
      <c r="AQ462" t="s">
        <v>80</v>
      </c>
      <c r="AR462" t="s">
        <v>65</v>
      </c>
      <c r="AS462" t="s">
        <v>2352</v>
      </c>
      <c r="AT462" t="s">
        <v>5666</v>
      </c>
      <c r="AU462" t="s">
        <v>83</v>
      </c>
      <c r="AV462" t="s">
        <v>5677</v>
      </c>
      <c r="AW462" t="str">
        <f>"3413740"</f>
        <v>3413740</v>
      </c>
    </row>
    <row r="463" spans="1:49">
      <c r="A463" t="str">
        <f>"80"</f>
        <v>80</v>
      </c>
      <c r="B463" t="s">
        <v>5178</v>
      </c>
      <c r="C463" t="str">
        <f>"7720"</f>
        <v>7720</v>
      </c>
      <c r="D463" t="s">
        <v>5678</v>
      </c>
      <c r="E463" t="str">
        <f>"915"</f>
        <v>915</v>
      </c>
      <c r="F463" t="s">
        <v>65</v>
      </c>
      <c r="G463" t="s">
        <v>5679</v>
      </c>
      <c r="H463" t="s">
        <v>5680</v>
      </c>
      <c r="I463" t="s">
        <v>128</v>
      </c>
      <c r="J463" s="2" t="s">
        <v>5681</v>
      </c>
      <c r="K463" t="s">
        <v>5682</v>
      </c>
      <c r="L463" t="s">
        <v>60</v>
      </c>
      <c r="M463" t="s">
        <v>5669</v>
      </c>
      <c r="N463" t="s">
        <v>62</v>
      </c>
      <c r="O463" t="str">
        <f>"07701"</f>
        <v>07701</v>
      </c>
      <c r="P463" t="s">
        <v>5682</v>
      </c>
      <c r="S463" t="s">
        <v>5669</v>
      </c>
      <c r="T463" t="s">
        <v>62</v>
      </c>
      <c r="U463" t="str">
        <f>"07701"</f>
        <v>07701</v>
      </c>
      <c r="W463" t="s">
        <v>5683</v>
      </c>
      <c r="X463" t="s">
        <v>77</v>
      </c>
      <c r="Y463" t="s">
        <v>190</v>
      </c>
      <c r="Z463" t="s">
        <v>3387</v>
      </c>
      <c r="AA463" t="s">
        <v>112</v>
      </c>
      <c r="AB463" t="s">
        <v>65</v>
      </c>
      <c r="AC463" t="s">
        <v>5679</v>
      </c>
      <c r="AD463" t="s">
        <v>5680</v>
      </c>
      <c r="AE463" t="s">
        <v>181</v>
      </c>
      <c r="AF463" t="s">
        <v>65</v>
      </c>
      <c r="AG463" t="s">
        <v>5679</v>
      </c>
      <c r="AH463" t="s">
        <v>5680</v>
      </c>
      <c r="AI463" t="s">
        <v>73</v>
      </c>
      <c r="AJ463" t="s">
        <v>70</v>
      </c>
      <c r="AK463" t="s">
        <v>5684</v>
      </c>
      <c r="AL463" t="s">
        <v>5685</v>
      </c>
      <c r="AM463" t="s">
        <v>76</v>
      </c>
      <c r="AR463" t="s">
        <v>77</v>
      </c>
      <c r="AS463" t="s">
        <v>190</v>
      </c>
      <c r="AT463" t="s">
        <v>3387</v>
      </c>
      <c r="AU463" t="s">
        <v>83</v>
      </c>
      <c r="AV463" t="s">
        <v>5686</v>
      </c>
      <c r="AW463" t="str">
        <f>"3400049"</f>
        <v>3400049</v>
      </c>
    </row>
    <row r="464" spans="1:49">
      <c r="A464" t="str">
        <f t="shared" ref="A464:A478" si="20">"25"</f>
        <v>25</v>
      </c>
      <c r="B464" t="s">
        <v>5178</v>
      </c>
      <c r="C464" t="str">
        <f>"4365"</f>
        <v>4365</v>
      </c>
      <c r="D464" t="s">
        <v>5687</v>
      </c>
      <c r="F464" t="s">
        <v>65</v>
      </c>
      <c r="G464" t="s">
        <v>677</v>
      </c>
      <c r="H464" t="s">
        <v>2895</v>
      </c>
      <c r="I464" t="s">
        <v>57</v>
      </c>
      <c r="J464" s="2" t="s">
        <v>5688</v>
      </c>
      <c r="K464" t="s">
        <v>5689</v>
      </c>
      <c r="L464" t="s">
        <v>60</v>
      </c>
      <c r="M464" t="s">
        <v>5690</v>
      </c>
      <c r="N464" t="s">
        <v>62</v>
      </c>
      <c r="O464" t="str">
        <f>"07739"</f>
        <v>07739</v>
      </c>
      <c r="P464" t="s">
        <v>5689</v>
      </c>
      <c r="S464" t="s">
        <v>5690</v>
      </c>
      <c r="T464" t="s">
        <v>62</v>
      </c>
      <c r="U464" t="str">
        <f>"07739"</f>
        <v>07739</v>
      </c>
      <c r="W464" t="s">
        <v>5691</v>
      </c>
      <c r="X464" t="s">
        <v>70</v>
      </c>
      <c r="Y464" t="s">
        <v>1653</v>
      </c>
      <c r="Z464" t="s">
        <v>5692</v>
      </c>
      <c r="AA464" t="s">
        <v>112</v>
      </c>
      <c r="AB464" t="s">
        <v>70</v>
      </c>
      <c r="AC464" t="s">
        <v>164</v>
      </c>
      <c r="AD464" t="s">
        <v>5693</v>
      </c>
      <c r="AE464" t="s">
        <v>69</v>
      </c>
      <c r="AF464" t="s">
        <v>77</v>
      </c>
      <c r="AG464" t="s">
        <v>873</v>
      </c>
      <c r="AH464" t="s">
        <v>5694</v>
      </c>
      <c r="AI464" t="s">
        <v>73</v>
      </c>
      <c r="AJ464" t="s">
        <v>70</v>
      </c>
      <c r="AK464" t="s">
        <v>928</v>
      </c>
      <c r="AL464" t="s">
        <v>5695</v>
      </c>
      <c r="AM464" t="s">
        <v>76</v>
      </c>
      <c r="AN464" t="s">
        <v>77</v>
      </c>
      <c r="AO464" t="s">
        <v>328</v>
      </c>
      <c r="AP464" t="s">
        <v>4632</v>
      </c>
      <c r="AQ464" t="s">
        <v>80</v>
      </c>
      <c r="AR464" t="s">
        <v>77</v>
      </c>
      <c r="AS464" t="s">
        <v>5696</v>
      </c>
      <c r="AT464" t="s">
        <v>5697</v>
      </c>
      <c r="AU464" t="s">
        <v>83</v>
      </c>
      <c r="AV464" t="s">
        <v>5698</v>
      </c>
      <c r="AW464" t="str">
        <f>"3413750"</f>
        <v>3413750</v>
      </c>
    </row>
    <row r="465" spans="1:49">
      <c r="A465" t="str">
        <f t="shared" si="20"/>
        <v>25</v>
      </c>
      <c r="B465" t="s">
        <v>5178</v>
      </c>
      <c r="C465" t="str">
        <f>"4520"</f>
        <v>4520</v>
      </c>
      <c r="D465" t="s">
        <v>5699</v>
      </c>
      <c r="F465" t="s">
        <v>65</v>
      </c>
      <c r="G465" t="s">
        <v>838</v>
      </c>
      <c r="H465" t="s">
        <v>417</v>
      </c>
      <c r="I465" t="s">
        <v>57</v>
      </c>
      <c r="J465" s="2" t="s">
        <v>5700</v>
      </c>
      <c r="K465" t="s">
        <v>5701</v>
      </c>
      <c r="L465" t="s">
        <v>60</v>
      </c>
      <c r="M465" t="s">
        <v>5702</v>
      </c>
      <c r="N465" t="s">
        <v>62</v>
      </c>
      <c r="O465" t="s">
        <v>5703</v>
      </c>
      <c r="P465" t="s">
        <v>5701</v>
      </c>
      <c r="Q465" t="s">
        <v>5704</v>
      </c>
      <c r="S465" t="s">
        <v>5702</v>
      </c>
      <c r="T465" t="s">
        <v>62</v>
      </c>
      <c r="U465" t="str">
        <f>"08555"</f>
        <v>08555</v>
      </c>
      <c r="V465" t="str">
        <f>"0160"</f>
        <v>0160</v>
      </c>
      <c r="W465" t="s">
        <v>5705</v>
      </c>
      <c r="X465" t="s">
        <v>77</v>
      </c>
      <c r="Y465" t="s">
        <v>4880</v>
      </c>
      <c r="Z465" t="s">
        <v>5590</v>
      </c>
      <c r="AA465" t="s">
        <v>135</v>
      </c>
      <c r="AB465" t="s">
        <v>65</v>
      </c>
      <c r="AC465" t="s">
        <v>5706</v>
      </c>
      <c r="AD465" t="s">
        <v>417</v>
      </c>
      <c r="AE465" t="s">
        <v>181</v>
      </c>
      <c r="AF465" t="s">
        <v>77</v>
      </c>
      <c r="AG465" t="s">
        <v>1186</v>
      </c>
      <c r="AH465" t="s">
        <v>5707</v>
      </c>
      <c r="AI465" t="s">
        <v>73</v>
      </c>
      <c r="AJ465" t="s">
        <v>65</v>
      </c>
      <c r="AK465" t="s">
        <v>838</v>
      </c>
      <c r="AL465" t="s">
        <v>417</v>
      </c>
      <c r="AM465" t="s">
        <v>76</v>
      </c>
      <c r="AN465" t="s">
        <v>77</v>
      </c>
      <c r="AO465" t="s">
        <v>1397</v>
      </c>
      <c r="AP465" t="s">
        <v>1664</v>
      </c>
      <c r="AQ465" t="s">
        <v>80</v>
      </c>
      <c r="AR465" t="s">
        <v>65</v>
      </c>
      <c r="AS465" t="s">
        <v>838</v>
      </c>
      <c r="AT465" t="s">
        <v>417</v>
      </c>
      <c r="AU465" t="s">
        <v>83</v>
      </c>
      <c r="AV465" t="s">
        <v>5708</v>
      </c>
      <c r="AW465" t="str">
        <f>"3414220"</f>
        <v>3414220</v>
      </c>
    </row>
    <row r="466" spans="1:49">
      <c r="A466" t="str">
        <f t="shared" si="20"/>
        <v>25</v>
      </c>
      <c r="B466" t="s">
        <v>5178</v>
      </c>
      <c r="C466" t="str">
        <f>"4570"</f>
        <v>4570</v>
      </c>
      <c r="D466" t="s">
        <v>5709</v>
      </c>
      <c r="F466" t="s">
        <v>65</v>
      </c>
      <c r="G466" t="s">
        <v>328</v>
      </c>
      <c r="H466" t="s">
        <v>5710</v>
      </c>
      <c r="I466" t="s">
        <v>89</v>
      </c>
      <c r="J466" s="2" t="s">
        <v>5711</v>
      </c>
      <c r="K466" t="s">
        <v>5712</v>
      </c>
      <c r="L466" t="s">
        <v>60</v>
      </c>
      <c r="M466" t="s">
        <v>5713</v>
      </c>
      <c r="N466" t="s">
        <v>62</v>
      </c>
      <c r="O466" t="str">
        <f>"07760"</f>
        <v>07760</v>
      </c>
      <c r="P466" t="s">
        <v>5712</v>
      </c>
      <c r="S466" t="s">
        <v>5713</v>
      </c>
      <c r="T466" t="s">
        <v>62</v>
      </c>
      <c r="U466" t="str">
        <f>"07760"</f>
        <v>07760</v>
      </c>
      <c r="W466" t="s">
        <v>5714</v>
      </c>
      <c r="X466" t="s">
        <v>54</v>
      </c>
      <c r="Y466" t="s">
        <v>809</v>
      </c>
      <c r="Z466" t="s">
        <v>4322</v>
      </c>
      <c r="AA466" t="s">
        <v>112</v>
      </c>
      <c r="AB466" t="s">
        <v>77</v>
      </c>
      <c r="AC466" t="s">
        <v>120</v>
      </c>
      <c r="AD466" t="s">
        <v>4479</v>
      </c>
      <c r="AE466" t="s">
        <v>69</v>
      </c>
      <c r="AF466" t="s">
        <v>65</v>
      </c>
      <c r="AG466" t="s">
        <v>328</v>
      </c>
      <c r="AH466" t="s">
        <v>5710</v>
      </c>
      <c r="AI466" t="s">
        <v>73</v>
      </c>
      <c r="AJ466" t="s">
        <v>54</v>
      </c>
      <c r="AK466" t="s">
        <v>5715</v>
      </c>
      <c r="AL466" t="s">
        <v>5716</v>
      </c>
      <c r="AM466" t="s">
        <v>76</v>
      </c>
      <c r="AN466" t="s">
        <v>77</v>
      </c>
      <c r="AO466" t="s">
        <v>677</v>
      </c>
      <c r="AP466" t="s">
        <v>5717</v>
      </c>
      <c r="AQ466" t="s">
        <v>80</v>
      </c>
      <c r="AR466" t="s">
        <v>65</v>
      </c>
      <c r="AS466" t="s">
        <v>328</v>
      </c>
      <c r="AT466" t="s">
        <v>5710</v>
      </c>
      <c r="AU466" t="s">
        <v>83</v>
      </c>
      <c r="AV466" t="s">
        <v>5718</v>
      </c>
      <c r="AW466" t="str">
        <f>"3414370"</f>
        <v>3414370</v>
      </c>
    </row>
    <row r="467" spans="1:49">
      <c r="A467" t="str">
        <f t="shared" si="20"/>
        <v>25</v>
      </c>
      <c r="B467" t="s">
        <v>5178</v>
      </c>
      <c r="C467" t="str">
        <f>"4580"</f>
        <v>4580</v>
      </c>
      <c r="D467" t="s">
        <v>5719</v>
      </c>
      <c r="F467" t="s">
        <v>54</v>
      </c>
      <c r="G467" t="s">
        <v>1653</v>
      </c>
      <c r="H467" t="s">
        <v>5720</v>
      </c>
      <c r="I467" t="s">
        <v>57</v>
      </c>
      <c r="J467" s="2" t="s">
        <v>5721</v>
      </c>
      <c r="K467" t="s">
        <v>5722</v>
      </c>
      <c r="L467" t="s">
        <v>60</v>
      </c>
      <c r="M467" t="s">
        <v>5713</v>
      </c>
      <c r="N467" t="s">
        <v>62</v>
      </c>
      <c r="O467" t="str">
        <f>"07760"</f>
        <v>07760</v>
      </c>
      <c r="P467" t="s">
        <v>5722</v>
      </c>
      <c r="S467" t="s">
        <v>5713</v>
      </c>
      <c r="T467" t="s">
        <v>62</v>
      </c>
      <c r="U467" t="str">
        <f>"07760"</f>
        <v>07760</v>
      </c>
      <c r="W467" t="s">
        <v>5723</v>
      </c>
      <c r="X467" t="s">
        <v>70</v>
      </c>
      <c r="Y467" t="s">
        <v>291</v>
      </c>
      <c r="Z467" t="s">
        <v>4965</v>
      </c>
      <c r="AA467" t="s">
        <v>135</v>
      </c>
      <c r="AB467" t="s">
        <v>54</v>
      </c>
      <c r="AC467" t="s">
        <v>2195</v>
      </c>
      <c r="AD467" t="s">
        <v>5319</v>
      </c>
      <c r="AE467" t="s">
        <v>69</v>
      </c>
      <c r="AF467" t="s">
        <v>77</v>
      </c>
      <c r="AG467" t="s">
        <v>78</v>
      </c>
      <c r="AH467" t="s">
        <v>5724</v>
      </c>
      <c r="AI467" t="s">
        <v>73</v>
      </c>
      <c r="AJ467" t="s">
        <v>77</v>
      </c>
      <c r="AK467" t="s">
        <v>2480</v>
      </c>
      <c r="AL467" t="s">
        <v>2290</v>
      </c>
      <c r="AM467" t="s">
        <v>76</v>
      </c>
      <c r="AN467" t="s">
        <v>77</v>
      </c>
      <c r="AO467" t="s">
        <v>1232</v>
      </c>
      <c r="AP467" t="s">
        <v>5725</v>
      </c>
      <c r="AQ467" t="s">
        <v>80</v>
      </c>
      <c r="AR467" t="s">
        <v>77</v>
      </c>
      <c r="AS467" t="s">
        <v>78</v>
      </c>
      <c r="AT467" t="s">
        <v>5724</v>
      </c>
      <c r="AU467" t="s">
        <v>83</v>
      </c>
      <c r="AV467" t="s">
        <v>5726</v>
      </c>
      <c r="AW467" t="str">
        <f>"3414400"</f>
        <v>3414400</v>
      </c>
    </row>
    <row r="468" spans="1:49">
      <c r="A468" t="str">
        <f t="shared" si="20"/>
        <v>25</v>
      </c>
      <c r="B468" t="s">
        <v>5178</v>
      </c>
      <c r="C468" t="str">
        <f>"4690"</f>
        <v>4690</v>
      </c>
      <c r="D468" t="s">
        <v>5727</v>
      </c>
      <c r="F468" t="s">
        <v>77</v>
      </c>
      <c r="G468" t="s">
        <v>4522</v>
      </c>
      <c r="H468" t="s">
        <v>5728</v>
      </c>
      <c r="I468" t="s">
        <v>89</v>
      </c>
      <c r="J468" s="2" t="s">
        <v>5729</v>
      </c>
      <c r="K468" t="s">
        <v>5730</v>
      </c>
      <c r="L468" t="s">
        <v>60</v>
      </c>
      <c r="M468" t="s">
        <v>5731</v>
      </c>
      <c r="N468" t="s">
        <v>62</v>
      </c>
      <c r="O468" t="str">
        <f>"08750"</f>
        <v>08750</v>
      </c>
      <c r="P468" t="s">
        <v>5730</v>
      </c>
      <c r="S468" t="s">
        <v>5731</v>
      </c>
      <c r="T468" t="s">
        <v>62</v>
      </c>
      <c r="U468" t="str">
        <f>"08750"</f>
        <v>08750</v>
      </c>
      <c r="W468" t="s">
        <v>5732</v>
      </c>
      <c r="X468" t="s">
        <v>70</v>
      </c>
      <c r="Y468" t="s">
        <v>809</v>
      </c>
      <c r="Z468" t="s">
        <v>5733</v>
      </c>
      <c r="AA468" t="s">
        <v>68</v>
      </c>
      <c r="AB468" t="s">
        <v>77</v>
      </c>
      <c r="AC468" t="s">
        <v>3970</v>
      </c>
      <c r="AD468" t="s">
        <v>679</v>
      </c>
      <c r="AE468" t="s">
        <v>69</v>
      </c>
      <c r="AF468" t="s">
        <v>77</v>
      </c>
      <c r="AG468" t="s">
        <v>3970</v>
      </c>
      <c r="AH468" t="s">
        <v>679</v>
      </c>
      <c r="AI468" t="s">
        <v>73</v>
      </c>
      <c r="AJ468" t="s">
        <v>77</v>
      </c>
      <c r="AK468" t="s">
        <v>3970</v>
      </c>
      <c r="AL468" t="s">
        <v>679</v>
      </c>
      <c r="AM468" t="s">
        <v>76</v>
      </c>
      <c r="AN468" t="s">
        <v>77</v>
      </c>
      <c r="AO468" t="s">
        <v>223</v>
      </c>
      <c r="AP468" t="s">
        <v>5734</v>
      </c>
      <c r="AQ468" t="s">
        <v>80</v>
      </c>
      <c r="AR468" t="s">
        <v>77</v>
      </c>
      <c r="AS468" t="s">
        <v>4522</v>
      </c>
      <c r="AT468" t="s">
        <v>5728</v>
      </c>
      <c r="AU468" t="s">
        <v>83</v>
      </c>
      <c r="AV468" t="s">
        <v>5735</v>
      </c>
      <c r="AW468" t="str">
        <f>"3414730"</f>
        <v>3414730</v>
      </c>
    </row>
    <row r="469" spans="1:49">
      <c r="A469" t="str">
        <f t="shared" si="20"/>
        <v>25</v>
      </c>
      <c r="B469" t="s">
        <v>5178</v>
      </c>
      <c r="C469" t="str">
        <f>"4760"</f>
        <v>4760</v>
      </c>
      <c r="D469" t="s">
        <v>5736</v>
      </c>
      <c r="F469" t="s">
        <v>65</v>
      </c>
      <c r="G469" t="s">
        <v>994</v>
      </c>
      <c r="H469" t="s">
        <v>5737</v>
      </c>
      <c r="I469" t="s">
        <v>408</v>
      </c>
      <c r="J469" s="2" t="s">
        <v>5738</v>
      </c>
      <c r="K469" t="s">
        <v>5739</v>
      </c>
      <c r="L469" t="s">
        <v>60</v>
      </c>
      <c r="M469" t="s">
        <v>5740</v>
      </c>
      <c r="N469" t="s">
        <v>62</v>
      </c>
      <c r="O469" t="str">
        <f>"07764"</f>
        <v>07764</v>
      </c>
      <c r="P469" t="s">
        <v>5739</v>
      </c>
      <c r="S469" t="s">
        <v>5740</v>
      </c>
      <c r="T469" t="s">
        <v>62</v>
      </c>
      <c r="U469" t="str">
        <f>"07764"</f>
        <v>07764</v>
      </c>
      <c r="W469" t="s">
        <v>5741</v>
      </c>
      <c r="X469" t="s">
        <v>70</v>
      </c>
      <c r="Y469" t="s">
        <v>5449</v>
      </c>
      <c r="Z469" t="s">
        <v>5450</v>
      </c>
      <c r="AA469" t="s">
        <v>135</v>
      </c>
      <c r="AB469" t="s">
        <v>77</v>
      </c>
      <c r="AC469" t="s">
        <v>5742</v>
      </c>
      <c r="AD469" t="s">
        <v>5743</v>
      </c>
      <c r="AE469" t="s">
        <v>69</v>
      </c>
      <c r="AF469" t="s">
        <v>77</v>
      </c>
      <c r="AG469" t="s">
        <v>994</v>
      </c>
      <c r="AH469" t="s">
        <v>5744</v>
      </c>
      <c r="AI469" t="s">
        <v>73</v>
      </c>
      <c r="AJ469" t="s">
        <v>77</v>
      </c>
      <c r="AK469" t="s">
        <v>178</v>
      </c>
      <c r="AL469" t="s">
        <v>5743</v>
      </c>
      <c r="AM469" t="s">
        <v>76</v>
      </c>
      <c r="AN469" t="s">
        <v>77</v>
      </c>
      <c r="AO469" t="s">
        <v>5742</v>
      </c>
      <c r="AP469" t="s">
        <v>5743</v>
      </c>
      <c r="AQ469" t="s">
        <v>80</v>
      </c>
      <c r="AR469" t="s">
        <v>77</v>
      </c>
      <c r="AS469" t="s">
        <v>120</v>
      </c>
      <c r="AT469" t="s">
        <v>5663</v>
      </c>
      <c r="AU469" t="s">
        <v>83</v>
      </c>
      <c r="AV469" t="s">
        <v>5745</v>
      </c>
      <c r="AW469" t="str">
        <f>"3414940"</f>
        <v>3414940</v>
      </c>
    </row>
    <row r="470" spans="1:49">
      <c r="A470" t="str">
        <f t="shared" si="20"/>
        <v>25</v>
      </c>
      <c r="B470" t="s">
        <v>5178</v>
      </c>
      <c r="C470" t="str">
        <f>"4770"</f>
        <v>4770</v>
      </c>
      <c r="D470" t="s">
        <v>5746</v>
      </c>
      <c r="F470" t="s">
        <v>77</v>
      </c>
      <c r="G470" t="s">
        <v>5747</v>
      </c>
      <c r="H470" t="s">
        <v>5748</v>
      </c>
      <c r="I470" t="s">
        <v>89</v>
      </c>
      <c r="J470" s="2" t="s">
        <v>5749</v>
      </c>
      <c r="K470" t="s">
        <v>5750</v>
      </c>
      <c r="L470" t="s">
        <v>60</v>
      </c>
      <c r="M470" t="s">
        <v>5751</v>
      </c>
      <c r="N470" t="s">
        <v>62</v>
      </c>
      <c r="O470" t="str">
        <f>"07702"</f>
        <v>07702</v>
      </c>
      <c r="P470" t="s">
        <v>5750</v>
      </c>
      <c r="S470" t="s">
        <v>5751</v>
      </c>
      <c r="T470" t="s">
        <v>62</v>
      </c>
      <c r="U470" t="str">
        <f>"07702"</f>
        <v>07702</v>
      </c>
      <c r="W470" t="s">
        <v>5752</v>
      </c>
      <c r="X470" t="s">
        <v>70</v>
      </c>
      <c r="Y470" t="s">
        <v>5753</v>
      </c>
      <c r="Z470" t="s">
        <v>5754</v>
      </c>
      <c r="AA470" t="s">
        <v>112</v>
      </c>
      <c r="AB470" t="s">
        <v>54</v>
      </c>
      <c r="AC470" t="s">
        <v>1244</v>
      </c>
      <c r="AD470" t="s">
        <v>5755</v>
      </c>
      <c r="AE470" t="s">
        <v>69</v>
      </c>
      <c r="AF470" t="s">
        <v>70</v>
      </c>
      <c r="AG470" t="s">
        <v>928</v>
      </c>
      <c r="AH470" t="s">
        <v>5756</v>
      </c>
      <c r="AI470" t="s">
        <v>73</v>
      </c>
      <c r="AJ470" t="s">
        <v>70</v>
      </c>
      <c r="AK470" t="s">
        <v>928</v>
      </c>
      <c r="AL470" t="s">
        <v>5756</v>
      </c>
      <c r="AM470" t="s">
        <v>76</v>
      </c>
      <c r="AN470" t="s">
        <v>77</v>
      </c>
      <c r="AO470" t="s">
        <v>2230</v>
      </c>
      <c r="AP470" t="s">
        <v>5676</v>
      </c>
      <c r="AQ470" t="s">
        <v>80</v>
      </c>
      <c r="AR470" t="s">
        <v>77</v>
      </c>
      <c r="AS470" t="s">
        <v>5747</v>
      </c>
      <c r="AT470" t="s">
        <v>5748</v>
      </c>
      <c r="AU470" t="s">
        <v>83</v>
      </c>
      <c r="AV470" t="s">
        <v>5757</v>
      </c>
      <c r="AW470" t="str">
        <f>"3414970"</f>
        <v>3414970</v>
      </c>
    </row>
    <row r="471" spans="1:49">
      <c r="A471" t="str">
        <f t="shared" si="20"/>
        <v>25</v>
      </c>
      <c r="B471" t="s">
        <v>5178</v>
      </c>
      <c r="C471" t="str">
        <f>"4980"</f>
        <v>4980</v>
      </c>
      <c r="D471" t="s">
        <v>5758</v>
      </c>
      <c r="F471" t="s">
        <v>65</v>
      </c>
      <c r="G471" t="s">
        <v>78</v>
      </c>
      <c r="H471" t="s">
        <v>5759</v>
      </c>
      <c r="I471" t="s">
        <v>89</v>
      </c>
      <c r="J471" s="2" t="s">
        <v>5760</v>
      </c>
      <c r="K471" t="s">
        <v>5761</v>
      </c>
      <c r="L471" t="s">
        <v>60</v>
      </c>
      <c r="M471" t="s">
        <v>5762</v>
      </c>
      <c r="N471" t="s">
        <v>62</v>
      </c>
      <c r="O471" t="str">
        <f>"07762"</f>
        <v>07762</v>
      </c>
      <c r="P471" t="s">
        <v>5761</v>
      </c>
      <c r="S471" t="s">
        <v>5762</v>
      </c>
      <c r="T471" t="s">
        <v>62</v>
      </c>
      <c r="U471" t="str">
        <f>"07762"</f>
        <v>07762</v>
      </c>
      <c r="W471" t="s">
        <v>5763</v>
      </c>
      <c r="X471" t="s">
        <v>54</v>
      </c>
      <c r="Y471" t="s">
        <v>5764</v>
      </c>
      <c r="Z471" t="s">
        <v>5765</v>
      </c>
      <c r="AA471" t="s">
        <v>135</v>
      </c>
      <c r="AB471" t="s">
        <v>54</v>
      </c>
      <c r="AC471" t="s">
        <v>869</v>
      </c>
      <c r="AD471" t="s">
        <v>5036</v>
      </c>
      <c r="AE471" t="s">
        <v>913</v>
      </c>
      <c r="AF471" t="s">
        <v>54</v>
      </c>
      <c r="AG471" t="s">
        <v>869</v>
      </c>
      <c r="AH471" t="s">
        <v>5036</v>
      </c>
      <c r="AI471" t="s">
        <v>73</v>
      </c>
      <c r="AJ471" t="s">
        <v>65</v>
      </c>
      <c r="AK471" t="s">
        <v>78</v>
      </c>
      <c r="AL471" t="s">
        <v>5766</v>
      </c>
      <c r="AM471" t="s">
        <v>76</v>
      </c>
      <c r="AN471" t="s">
        <v>65</v>
      </c>
      <c r="AO471" t="s">
        <v>78</v>
      </c>
      <c r="AP471" t="s">
        <v>5759</v>
      </c>
      <c r="AQ471" t="s">
        <v>80</v>
      </c>
      <c r="AV471" t="s">
        <v>5767</v>
      </c>
      <c r="AW471" t="str">
        <f>"3415570"</f>
        <v>3415570</v>
      </c>
    </row>
    <row r="472" spans="1:49">
      <c r="A472" t="str">
        <f t="shared" si="20"/>
        <v>25</v>
      </c>
      <c r="B472" t="s">
        <v>5178</v>
      </c>
      <c r="C472" t="str">
        <f>"4990"</f>
        <v>4990</v>
      </c>
      <c r="D472" t="s">
        <v>5768</v>
      </c>
      <c r="F472" t="s">
        <v>77</v>
      </c>
      <c r="G472" t="s">
        <v>328</v>
      </c>
      <c r="H472" t="s">
        <v>5769</v>
      </c>
      <c r="I472" t="s">
        <v>89</v>
      </c>
      <c r="J472" s="2" t="s">
        <v>5770</v>
      </c>
      <c r="K472" t="s">
        <v>5771</v>
      </c>
      <c r="L472" t="s">
        <v>60</v>
      </c>
      <c r="M472" t="s">
        <v>5772</v>
      </c>
      <c r="N472" t="s">
        <v>62</v>
      </c>
      <c r="O472" t="str">
        <f>"07762"</f>
        <v>07762</v>
      </c>
      <c r="P472" t="s">
        <v>5771</v>
      </c>
      <c r="S472" t="s">
        <v>5772</v>
      </c>
      <c r="T472" t="s">
        <v>62</v>
      </c>
      <c r="U472" t="str">
        <f>"07762"</f>
        <v>07762</v>
      </c>
      <c r="W472" t="s">
        <v>5773</v>
      </c>
      <c r="X472" t="s">
        <v>77</v>
      </c>
      <c r="Y472" t="s">
        <v>281</v>
      </c>
      <c r="Z472" t="s">
        <v>5774</v>
      </c>
      <c r="AA472" t="s">
        <v>135</v>
      </c>
      <c r="AB472" t="s">
        <v>77</v>
      </c>
      <c r="AC472" t="s">
        <v>328</v>
      </c>
      <c r="AD472" t="s">
        <v>5769</v>
      </c>
      <c r="AE472" t="s">
        <v>181</v>
      </c>
      <c r="AF472" t="s">
        <v>54</v>
      </c>
      <c r="AG472" t="s">
        <v>5775</v>
      </c>
      <c r="AH472" t="s">
        <v>4811</v>
      </c>
      <c r="AI472" t="s">
        <v>73</v>
      </c>
      <c r="AJ472" t="s">
        <v>54</v>
      </c>
      <c r="AK472" t="s">
        <v>682</v>
      </c>
      <c r="AL472" t="s">
        <v>454</v>
      </c>
      <c r="AM472" t="s">
        <v>76</v>
      </c>
      <c r="AN472" t="s">
        <v>77</v>
      </c>
      <c r="AO472" t="s">
        <v>5776</v>
      </c>
      <c r="AP472" t="s">
        <v>5777</v>
      </c>
      <c r="AQ472" t="s">
        <v>80</v>
      </c>
      <c r="AR472" t="s">
        <v>77</v>
      </c>
      <c r="AS472" t="s">
        <v>328</v>
      </c>
      <c r="AT472" t="s">
        <v>5769</v>
      </c>
      <c r="AU472" t="s">
        <v>83</v>
      </c>
      <c r="AV472" t="s">
        <v>5778</v>
      </c>
      <c r="AW472" t="str">
        <f>"3415600"</f>
        <v>3415600</v>
      </c>
    </row>
    <row r="473" spans="1:49">
      <c r="A473" t="str">
        <f t="shared" si="20"/>
        <v>25</v>
      </c>
      <c r="B473" t="s">
        <v>5178</v>
      </c>
      <c r="C473" t="str">
        <f>"5185"</f>
        <v>5185</v>
      </c>
      <c r="D473" t="s">
        <v>5779</v>
      </c>
      <c r="F473" t="s">
        <v>54</v>
      </c>
      <c r="G473" t="s">
        <v>150</v>
      </c>
      <c r="H473" t="s">
        <v>5780</v>
      </c>
      <c r="I473" t="s">
        <v>89</v>
      </c>
      <c r="J473" s="2" t="s">
        <v>5781</v>
      </c>
      <c r="K473" t="s">
        <v>5782</v>
      </c>
      <c r="L473" t="s">
        <v>60</v>
      </c>
      <c r="M473" t="s">
        <v>5228</v>
      </c>
      <c r="N473" t="s">
        <v>62</v>
      </c>
      <c r="O473" t="str">
        <f>"07724"</f>
        <v>07724</v>
      </c>
      <c r="P473" t="s">
        <v>5782</v>
      </c>
      <c r="S473" t="s">
        <v>5228</v>
      </c>
      <c r="T473" t="s">
        <v>62</v>
      </c>
      <c r="U473" t="str">
        <f>"07724"</f>
        <v>07724</v>
      </c>
      <c r="W473" t="s">
        <v>5783</v>
      </c>
      <c r="X473" t="s">
        <v>77</v>
      </c>
      <c r="Y473" t="s">
        <v>687</v>
      </c>
      <c r="Z473" t="s">
        <v>4632</v>
      </c>
      <c r="AA473" t="s">
        <v>135</v>
      </c>
      <c r="AB473" t="s">
        <v>54</v>
      </c>
      <c r="AC473" t="s">
        <v>5784</v>
      </c>
      <c r="AD473" t="s">
        <v>5785</v>
      </c>
      <c r="AE473" t="s">
        <v>587</v>
      </c>
      <c r="AF473" t="s">
        <v>54</v>
      </c>
      <c r="AG473" t="s">
        <v>55</v>
      </c>
      <c r="AH473" t="s">
        <v>5786</v>
      </c>
      <c r="AI473" t="s">
        <v>73</v>
      </c>
      <c r="AJ473" t="s">
        <v>54</v>
      </c>
      <c r="AK473" t="s">
        <v>1684</v>
      </c>
      <c r="AL473" t="s">
        <v>5787</v>
      </c>
      <c r="AM473" t="s">
        <v>76</v>
      </c>
      <c r="AN473" t="s">
        <v>77</v>
      </c>
      <c r="AO473" t="s">
        <v>1067</v>
      </c>
      <c r="AP473" t="s">
        <v>5788</v>
      </c>
      <c r="AQ473" t="s">
        <v>80</v>
      </c>
      <c r="AR473" t="s">
        <v>54</v>
      </c>
      <c r="AS473" t="s">
        <v>928</v>
      </c>
      <c r="AT473" t="s">
        <v>5789</v>
      </c>
      <c r="AU473" t="s">
        <v>83</v>
      </c>
      <c r="AV473" t="s">
        <v>5790</v>
      </c>
      <c r="AW473" t="str">
        <f>"3416200"</f>
        <v>3416200</v>
      </c>
    </row>
    <row r="474" spans="1:49">
      <c r="A474" t="str">
        <f t="shared" si="20"/>
        <v>25</v>
      </c>
      <c r="B474" t="s">
        <v>5178</v>
      </c>
      <c r="C474" t="str">
        <f>"3810"</f>
        <v>3810</v>
      </c>
      <c r="D474" t="s">
        <v>5791</v>
      </c>
      <c r="F474" t="s">
        <v>65</v>
      </c>
      <c r="G474" t="s">
        <v>182</v>
      </c>
      <c r="H474" t="s">
        <v>5792</v>
      </c>
      <c r="I474" t="s">
        <v>89</v>
      </c>
      <c r="J474" s="2" t="s">
        <v>5793</v>
      </c>
      <c r="K474" t="s">
        <v>5794</v>
      </c>
      <c r="L474" t="s">
        <v>60</v>
      </c>
      <c r="M474" t="s">
        <v>5795</v>
      </c>
      <c r="N474" t="s">
        <v>62</v>
      </c>
      <c r="O474" t="str">
        <f>"07755"</f>
        <v>07755</v>
      </c>
      <c r="P474" t="s">
        <v>5794</v>
      </c>
      <c r="S474" t="s">
        <v>5795</v>
      </c>
      <c r="T474" t="s">
        <v>62</v>
      </c>
      <c r="U474" t="str">
        <f>"07755"</f>
        <v>07755</v>
      </c>
      <c r="W474" t="s">
        <v>5796</v>
      </c>
      <c r="X474" t="s">
        <v>77</v>
      </c>
      <c r="Y474" t="s">
        <v>892</v>
      </c>
      <c r="Z474" t="s">
        <v>5032</v>
      </c>
      <c r="AA474" t="s">
        <v>112</v>
      </c>
      <c r="AB474" t="s">
        <v>54</v>
      </c>
      <c r="AC474" t="s">
        <v>155</v>
      </c>
      <c r="AD474" t="s">
        <v>5797</v>
      </c>
      <c r="AE474" t="s">
        <v>154</v>
      </c>
      <c r="AF474" t="s">
        <v>70</v>
      </c>
      <c r="AG474" t="s">
        <v>649</v>
      </c>
      <c r="AH474" t="s">
        <v>5798</v>
      </c>
      <c r="AI474" t="s">
        <v>73</v>
      </c>
      <c r="AJ474" t="s">
        <v>70</v>
      </c>
      <c r="AK474" t="s">
        <v>649</v>
      </c>
      <c r="AL474" t="s">
        <v>5798</v>
      </c>
      <c r="AM474" t="s">
        <v>76</v>
      </c>
      <c r="AN474" t="s">
        <v>77</v>
      </c>
      <c r="AO474" t="s">
        <v>120</v>
      </c>
      <c r="AP474" t="s">
        <v>5591</v>
      </c>
      <c r="AQ474" t="s">
        <v>80</v>
      </c>
      <c r="AR474" t="s">
        <v>65</v>
      </c>
      <c r="AS474" t="s">
        <v>182</v>
      </c>
      <c r="AT474" t="s">
        <v>5792</v>
      </c>
      <c r="AU474" t="s">
        <v>83</v>
      </c>
      <c r="AV474" t="s">
        <v>5799</v>
      </c>
      <c r="AW474" t="str">
        <f>"3412060"</f>
        <v>3412060</v>
      </c>
    </row>
    <row r="475" spans="1:49">
      <c r="A475" t="str">
        <f t="shared" si="20"/>
        <v>25</v>
      </c>
      <c r="B475" t="s">
        <v>5178</v>
      </c>
      <c r="C475" t="str">
        <f>"5230"</f>
        <v>5230</v>
      </c>
      <c r="D475" t="s">
        <v>5800</v>
      </c>
      <c r="F475" t="s">
        <v>54</v>
      </c>
      <c r="G475" t="s">
        <v>289</v>
      </c>
      <c r="H475" t="s">
        <v>5801</v>
      </c>
      <c r="I475" t="s">
        <v>89</v>
      </c>
      <c r="J475" s="2" t="s">
        <v>5802</v>
      </c>
      <c r="K475" t="s">
        <v>5803</v>
      </c>
      <c r="L475" t="s">
        <v>60</v>
      </c>
      <c r="M475" t="s">
        <v>5804</v>
      </c>
      <c r="N475" t="s">
        <v>62</v>
      </c>
      <c r="O475" t="str">
        <f>"07735"</f>
        <v>07735</v>
      </c>
      <c r="P475" t="s">
        <v>5803</v>
      </c>
      <c r="S475" t="s">
        <v>5804</v>
      </c>
      <c r="T475" t="s">
        <v>62</v>
      </c>
      <c r="U475" t="str">
        <f>"07735"</f>
        <v>07735</v>
      </c>
      <c r="W475" t="s">
        <v>5805</v>
      </c>
      <c r="X475" t="s">
        <v>77</v>
      </c>
      <c r="Y475" t="s">
        <v>1690</v>
      </c>
      <c r="Z475" t="s">
        <v>1691</v>
      </c>
      <c r="AA475" t="s">
        <v>112</v>
      </c>
      <c r="AB475" t="s">
        <v>70</v>
      </c>
      <c r="AC475" t="s">
        <v>5806</v>
      </c>
      <c r="AD475" t="s">
        <v>5807</v>
      </c>
      <c r="AE475" t="s">
        <v>98</v>
      </c>
      <c r="AF475" t="s">
        <v>54</v>
      </c>
      <c r="AG475" t="s">
        <v>649</v>
      </c>
      <c r="AH475" t="s">
        <v>5808</v>
      </c>
      <c r="AI475" t="s">
        <v>73</v>
      </c>
      <c r="AJ475" t="s">
        <v>54</v>
      </c>
      <c r="AK475" t="s">
        <v>649</v>
      </c>
      <c r="AL475" t="s">
        <v>5808</v>
      </c>
      <c r="AM475" t="s">
        <v>76</v>
      </c>
      <c r="AN475" t="s">
        <v>77</v>
      </c>
      <c r="AO475" t="s">
        <v>422</v>
      </c>
      <c r="AP475" t="s">
        <v>5809</v>
      </c>
      <c r="AQ475" t="s">
        <v>80</v>
      </c>
      <c r="AR475" t="s">
        <v>54</v>
      </c>
      <c r="AS475" t="s">
        <v>649</v>
      </c>
      <c r="AT475" t="s">
        <v>5808</v>
      </c>
      <c r="AU475" t="s">
        <v>83</v>
      </c>
      <c r="AV475" t="s">
        <v>5810</v>
      </c>
      <c r="AW475" t="str">
        <f>"3416350"</f>
        <v>3416350</v>
      </c>
    </row>
    <row r="476" spans="1:49">
      <c r="A476" t="str">
        <f t="shared" si="20"/>
        <v>25</v>
      </c>
      <c r="B476" t="s">
        <v>5178</v>
      </c>
      <c r="C476" t="str">
        <f>"5310"</f>
        <v>5310</v>
      </c>
      <c r="D476" t="s">
        <v>5811</v>
      </c>
      <c r="F476" t="s">
        <v>77</v>
      </c>
      <c r="G476" t="s">
        <v>404</v>
      </c>
      <c r="H476" t="s">
        <v>5812</v>
      </c>
      <c r="I476" t="s">
        <v>57</v>
      </c>
      <c r="J476" s="2" t="s">
        <v>5813</v>
      </c>
      <c r="K476" t="s">
        <v>5814</v>
      </c>
      <c r="L476" t="s">
        <v>60</v>
      </c>
      <c r="M476" t="s">
        <v>5815</v>
      </c>
      <c r="N476" t="s">
        <v>62</v>
      </c>
      <c r="O476" t="str">
        <f>"08501"</f>
        <v>08501</v>
      </c>
      <c r="P476" t="s">
        <v>5814</v>
      </c>
      <c r="S476" t="s">
        <v>5815</v>
      </c>
      <c r="T476" t="s">
        <v>62</v>
      </c>
      <c r="U476" t="str">
        <f>"08501"</f>
        <v>08501</v>
      </c>
      <c r="W476" t="s">
        <v>5816</v>
      </c>
      <c r="X476" t="s">
        <v>77</v>
      </c>
      <c r="Y476" t="s">
        <v>293</v>
      </c>
      <c r="Z476" t="s">
        <v>5817</v>
      </c>
      <c r="AA476" t="s">
        <v>135</v>
      </c>
      <c r="AB476" t="s">
        <v>54</v>
      </c>
      <c r="AC476" t="s">
        <v>915</v>
      </c>
      <c r="AD476" t="s">
        <v>5818</v>
      </c>
      <c r="AE476" t="s">
        <v>98</v>
      </c>
      <c r="AF476" t="s">
        <v>77</v>
      </c>
      <c r="AG476" t="s">
        <v>293</v>
      </c>
      <c r="AH476" t="s">
        <v>2529</v>
      </c>
      <c r="AI476" t="s">
        <v>73</v>
      </c>
      <c r="AJ476" t="s">
        <v>77</v>
      </c>
      <c r="AK476" t="s">
        <v>293</v>
      </c>
      <c r="AL476" t="s">
        <v>2529</v>
      </c>
      <c r="AM476" t="s">
        <v>76</v>
      </c>
      <c r="AN476" t="s">
        <v>77</v>
      </c>
      <c r="AO476" t="s">
        <v>120</v>
      </c>
      <c r="AP476" t="s">
        <v>4306</v>
      </c>
      <c r="AQ476" t="s">
        <v>80</v>
      </c>
      <c r="AR476" t="s">
        <v>77</v>
      </c>
      <c r="AS476" t="s">
        <v>212</v>
      </c>
      <c r="AT476" t="s">
        <v>5819</v>
      </c>
      <c r="AU476" t="s">
        <v>83</v>
      </c>
      <c r="AV476" t="s">
        <v>5820</v>
      </c>
      <c r="AW476" t="str">
        <f>"3416560"</f>
        <v>3416560</v>
      </c>
    </row>
    <row r="477" spans="1:49">
      <c r="A477" t="str">
        <f t="shared" si="20"/>
        <v>25</v>
      </c>
      <c r="B477" t="s">
        <v>5178</v>
      </c>
      <c r="C477" t="str">
        <f>"5420"</f>
        <v>5420</v>
      </c>
      <c r="D477" t="s">
        <v>5821</v>
      </c>
      <c r="F477" t="s">
        <v>65</v>
      </c>
      <c r="G477" t="s">
        <v>118</v>
      </c>
      <c r="H477" t="s">
        <v>5822</v>
      </c>
      <c r="I477" t="s">
        <v>89</v>
      </c>
      <c r="J477" s="2" t="s">
        <v>5823</v>
      </c>
      <c r="K477" t="s">
        <v>5824</v>
      </c>
      <c r="L477" t="s">
        <v>5825</v>
      </c>
      <c r="M477" t="s">
        <v>5826</v>
      </c>
      <c r="N477" t="s">
        <v>62</v>
      </c>
      <c r="O477" t="str">
        <f>"07719"</f>
        <v>07719</v>
      </c>
      <c r="P477" t="s">
        <v>5824</v>
      </c>
      <c r="Q477" t="s">
        <v>5827</v>
      </c>
      <c r="S477" t="s">
        <v>5826</v>
      </c>
      <c r="T477" t="s">
        <v>62</v>
      </c>
      <c r="U477" t="str">
        <f>"07719"</f>
        <v>07719</v>
      </c>
      <c r="W477" t="s">
        <v>5828</v>
      </c>
      <c r="X477" t="s">
        <v>77</v>
      </c>
      <c r="Y477" t="s">
        <v>212</v>
      </c>
      <c r="Z477" t="s">
        <v>5829</v>
      </c>
      <c r="AA477" t="s">
        <v>135</v>
      </c>
      <c r="AB477" t="s">
        <v>54</v>
      </c>
      <c r="AC477" t="s">
        <v>1720</v>
      </c>
      <c r="AD477" t="s">
        <v>5830</v>
      </c>
      <c r="AE477" t="s">
        <v>98</v>
      </c>
      <c r="AF477" t="s">
        <v>65</v>
      </c>
      <c r="AG477" t="s">
        <v>1346</v>
      </c>
      <c r="AH477" t="s">
        <v>5831</v>
      </c>
      <c r="AI477" t="s">
        <v>73</v>
      </c>
      <c r="AJ477" t="s">
        <v>65</v>
      </c>
      <c r="AK477" t="s">
        <v>1346</v>
      </c>
      <c r="AL477" t="s">
        <v>5831</v>
      </c>
      <c r="AM477" t="s">
        <v>76</v>
      </c>
      <c r="AN477" t="s">
        <v>77</v>
      </c>
      <c r="AO477" t="s">
        <v>358</v>
      </c>
      <c r="AP477" t="s">
        <v>222</v>
      </c>
      <c r="AQ477" t="s">
        <v>80</v>
      </c>
      <c r="AR477" t="s">
        <v>77</v>
      </c>
      <c r="AS477" t="s">
        <v>367</v>
      </c>
      <c r="AT477" t="s">
        <v>900</v>
      </c>
      <c r="AU477" t="s">
        <v>83</v>
      </c>
      <c r="AV477" t="s">
        <v>5832</v>
      </c>
      <c r="AW477" t="str">
        <f>"3416890"</f>
        <v>3416890</v>
      </c>
    </row>
    <row r="478" spans="1:49">
      <c r="A478" t="str">
        <f t="shared" si="20"/>
        <v>25</v>
      </c>
      <c r="B478" t="s">
        <v>5178</v>
      </c>
      <c r="C478" t="str">
        <f>"5640"</f>
        <v>5640</v>
      </c>
      <c r="D478" t="s">
        <v>5833</v>
      </c>
      <c r="F478" t="s">
        <v>77</v>
      </c>
      <c r="G478" t="s">
        <v>373</v>
      </c>
      <c r="H478" t="s">
        <v>678</v>
      </c>
      <c r="I478" t="s">
        <v>408</v>
      </c>
      <c r="J478" s="2" t="s">
        <v>5834</v>
      </c>
      <c r="K478" t="s">
        <v>5835</v>
      </c>
      <c r="L478" t="s">
        <v>60</v>
      </c>
      <c r="M478" t="s">
        <v>5448</v>
      </c>
      <c r="N478" t="s">
        <v>62</v>
      </c>
      <c r="O478" t="str">
        <f>"07764"</f>
        <v>07764</v>
      </c>
      <c r="P478" t="s">
        <v>5835</v>
      </c>
      <c r="S478" t="s">
        <v>5448</v>
      </c>
      <c r="T478" t="s">
        <v>62</v>
      </c>
      <c r="U478" t="str">
        <f>"07764"</f>
        <v>07764</v>
      </c>
      <c r="W478" t="s">
        <v>5836</v>
      </c>
      <c r="X478" t="s">
        <v>70</v>
      </c>
      <c r="Y478" t="s">
        <v>5449</v>
      </c>
      <c r="Z478" t="s">
        <v>5450</v>
      </c>
      <c r="AA478" t="s">
        <v>135</v>
      </c>
      <c r="AB478" t="s">
        <v>70</v>
      </c>
      <c r="AC478" t="s">
        <v>5837</v>
      </c>
      <c r="AD478" t="s">
        <v>5838</v>
      </c>
      <c r="AE478" t="s">
        <v>69</v>
      </c>
      <c r="AF478" t="s">
        <v>77</v>
      </c>
      <c r="AG478" t="s">
        <v>182</v>
      </c>
      <c r="AH478" t="s">
        <v>5839</v>
      </c>
      <c r="AI478" t="s">
        <v>73</v>
      </c>
      <c r="AJ478" t="s">
        <v>77</v>
      </c>
      <c r="AK478" t="s">
        <v>182</v>
      </c>
      <c r="AL478" t="s">
        <v>5839</v>
      </c>
      <c r="AM478" t="s">
        <v>76</v>
      </c>
      <c r="AN478" t="s">
        <v>77</v>
      </c>
      <c r="AO478" t="s">
        <v>436</v>
      </c>
      <c r="AP478" t="s">
        <v>5840</v>
      </c>
      <c r="AQ478" t="s">
        <v>80</v>
      </c>
      <c r="AR478" t="s">
        <v>77</v>
      </c>
      <c r="AS478" t="s">
        <v>182</v>
      </c>
      <c r="AT478" t="s">
        <v>5839</v>
      </c>
      <c r="AU478" t="s">
        <v>83</v>
      </c>
      <c r="AV478" t="s">
        <v>5841</v>
      </c>
      <c r="AW478" t="str">
        <f>"3417490"</f>
        <v>3417490</v>
      </c>
    </row>
    <row r="479" spans="1:49">
      <c r="A479" t="str">
        <f t="shared" ref="A479:A515" si="21">"27"</f>
        <v>27</v>
      </c>
      <c r="B479" t="s">
        <v>5842</v>
      </c>
      <c r="C479" t="str">
        <f>"0450"</f>
        <v>0450</v>
      </c>
      <c r="D479" t="s">
        <v>5843</v>
      </c>
      <c r="F479" t="s">
        <v>77</v>
      </c>
      <c r="G479" t="s">
        <v>873</v>
      </c>
      <c r="H479" t="s">
        <v>5844</v>
      </c>
      <c r="I479" t="s">
        <v>89</v>
      </c>
      <c r="J479" s="2" t="s">
        <v>5845</v>
      </c>
      <c r="K479" t="s">
        <v>5846</v>
      </c>
      <c r="L479" t="s">
        <v>60</v>
      </c>
      <c r="M479" t="s">
        <v>5847</v>
      </c>
      <c r="N479" t="s">
        <v>62</v>
      </c>
      <c r="O479" t="str">
        <f>"07005"</f>
        <v>07005</v>
      </c>
      <c r="P479" t="s">
        <v>5846</v>
      </c>
      <c r="S479" t="s">
        <v>5847</v>
      </c>
      <c r="T479" t="s">
        <v>62</v>
      </c>
      <c r="U479" t="str">
        <f>"07005"</f>
        <v>07005</v>
      </c>
      <c r="W479" t="s">
        <v>5848</v>
      </c>
      <c r="X479" t="s">
        <v>77</v>
      </c>
      <c r="Y479" t="s">
        <v>534</v>
      </c>
      <c r="Z479" t="s">
        <v>5849</v>
      </c>
      <c r="AA479" t="s">
        <v>112</v>
      </c>
      <c r="AB479" t="s">
        <v>70</v>
      </c>
      <c r="AC479" t="s">
        <v>306</v>
      </c>
      <c r="AD479" t="s">
        <v>5850</v>
      </c>
      <c r="AE479" t="s">
        <v>98</v>
      </c>
      <c r="AF479" t="s">
        <v>54</v>
      </c>
      <c r="AG479" t="s">
        <v>4373</v>
      </c>
      <c r="AH479" t="s">
        <v>5851</v>
      </c>
      <c r="AI479" t="s">
        <v>73</v>
      </c>
      <c r="AJ479" t="s">
        <v>54</v>
      </c>
      <c r="AK479" t="s">
        <v>4373</v>
      </c>
      <c r="AL479" t="s">
        <v>5851</v>
      </c>
      <c r="AM479" t="s">
        <v>76</v>
      </c>
      <c r="AN479" t="s">
        <v>77</v>
      </c>
      <c r="AO479" t="s">
        <v>2132</v>
      </c>
      <c r="AP479" t="s">
        <v>5852</v>
      </c>
      <c r="AQ479" t="s">
        <v>80</v>
      </c>
      <c r="AR479" t="s">
        <v>77</v>
      </c>
      <c r="AS479" t="s">
        <v>873</v>
      </c>
      <c r="AT479" t="s">
        <v>5844</v>
      </c>
      <c r="AU479" t="s">
        <v>83</v>
      </c>
      <c r="AV479" t="s">
        <v>5853</v>
      </c>
      <c r="AW479" t="str">
        <f>"3401950"</f>
        <v>3401950</v>
      </c>
    </row>
    <row r="480" spans="1:49">
      <c r="A480" t="str">
        <f t="shared" si="21"/>
        <v>27</v>
      </c>
      <c r="B480" t="s">
        <v>5842</v>
      </c>
      <c r="C480" t="str">
        <f>"0460"</f>
        <v>0460</v>
      </c>
      <c r="D480" t="s">
        <v>5854</v>
      </c>
      <c r="F480" t="s">
        <v>65</v>
      </c>
      <c r="G480" t="s">
        <v>4239</v>
      </c>
      <c r="H480" t="s">
        <v>5855</v>
      </c>
      <c r="I480" t="s">
        <v>89</v>
      </c>
      <c r="J480" s="2" t="s">
        <v>5856</v>
      </c>
      <c r="K480" t="s">
        <v>5857</v>
      </c>
      <c r="L480" t="s">
        <v>60</v>
      </c>
      <c r="M480" t="s">
        <v>5858</v>
      </c>
      <c r="N480" t="s">
        <v>62</v>
      </c>
      <c r="O480" t="str">
        <f>"07005"</f>
        <v>07005</v>
      </c>
      <c r="P480" t="s">
        <v>5857</v>
      </c>
      <c r="S480" t="s">
        <v>5858</v>
      </c>
      <c r="T480" t="s">
        <v>62</v>
      </c>
      <c r="U480" t="str">
        <f>"07005"</f>
        <v>07005</v>
      </c>
      <c r="W480" t="s">
        <v>5859</v>
      </c>
      <c r="X480" t="s">
        <v>77</v>
      </c>
      <c r="Y480" t="s">
        <v>328</v>
      </c>
      <c r="Z480" t="s">
        <v>1629</v>
      </c>
      <c r="AA480" t="s">
        <v>135</v>
      </c>
      <c r="AB480" t="s">
        <v>54</v>
      </c>
      <c r="AC480" t="s">
        <v>306</v>
      </c>
      <c r="AD480" t="s">
        <v>2689</v>
      </c>
      <c r="AE480" t="s">
        <v>98</v>
      </c>
      <c r="AF480" t="s">
        <v>54</v>
      </c>
      <c r="AG480" t="s">
        <v>5860</v>
      </c>
      <c r="AH480" t="s">
        <v>5861</v>
      </c>
      <c r="AI480" t="s">
        <v>73</v>
      </c>
      <c r="AJ480" t="s">
        <v>65</v>
      </c>
      <c r="AK480" t="s">
        <v>5862</v>
      </c>
      <c r="AL480" t="s">
        <v>5863</v>
      </c>
      <c r="AM480" t="s">
        <v>76</v>
      </c>
      <c r="AN480" t="s">
        <v>77</v>
      </c>
      <c r="AO480" t="s">
        <v>2877</v>
      </c>
      <c r="AP480" t="s">
        <v>2523</v>
      </c>
      <c r="AQ480" t="s">
        <v>80</v>
      </c>
      <c r="AR480" t="s">
        <v>65</v>
      </c>
      <c r="AS480" t="s">
        <v>4239</v>
      </c>
      <c r="AT480" t="s">
        <v>5855</v>
      </c>
      <c r="AU480" t="s">
        <v>83</v>
      </c>
      <c r="AV480" t="s">
        <v>5864</v>
      </c>
      <c r="AW480" t="str">
        <f>"3401980"</f>
        <v>3401980</v>
      </c>
    </row>
    <row r="481" spans="1:49">
      <c r="A481" t="str">
        <f t="shared" si="21"/>
        <v>27</v>
      </c>
      <c r="B481" t="s">
        <v>5842</v>
      </c>
      <c r="C481" t="str">
        <f>"0630"</f>
        <v>0630</v>
      </c>
      <c r="D481" t="s">
        <v>5865</v>
      </c>
      <c r="F481" t="s">
        <v>65</v>
      </c>
      <c r="G481" t="s">
        <v>87</v>
      </c>
      <c r="H481" t="s">
        <v>2523</v>
      </c>
      <c r="I481" t="s">
        <v>57</v>
      </c>
      <c r="J481" s="2" t="s">
        <v>5866</v>
      </c>
      <c r="K481" t="s">
        <v>5867</v>
      </c>
      <c r="L481" t="s">
        <v>5868</v>
      </c>
      <c r="M481" t="s">
        <v>1863</v>
      </c>
      <c r="N481" t="s">
        <v>62</v>
      </c>
      <c r="O481" t="str">
        <f>"07405"</f>
        <v>07405</v>
      </c>
      <c r="P481" t="s">
        <v>5867</v>
      </c>
      <c r="Q481" t="s">
        <v>5869</v>
      </c>
      <c r="S481" t="s">
        <v>1863</v>
      </c>
      <c r="T481" t="s">
        <v>62</v>
      </c>
      <c r="U481" t="str">
        <f>"07405"</f>
        <v>07405</v>
      </c>
      <c r="W481" t="s">
        <v>5870</v>
      </c>
      <c r="X481" t="s">
        <v>65</v>
      </c>
      <c r="Y481" t="s">
        <v>293</v>
      </c>
      <c r="Z481" t="s">
        <v>5871</v>
      </c>
      <c r="AA481" t="s">
        <v>112</v>
      </c>
      <c r="AB481" t="s">
        <v>77</v>
      </c>
      <c r="AC481" t="s">
        <v>120</v>
      </c>
      <c r="AD481" t="s">
        <v>5872</v>
      </c>
      <c r="AE481" t="s">
        <v>415</v>
      </c>
      <c r="AF481" t="s">
        <v>70</v>
      </c>
      <c r="AG481" t="s">
        <v>730</v>
      </c>
      <c r="AH481" t="s">
        <v>5873</v>
      </c>
      <c r="AI481" t="s">
        <v>73</v>
      </c>
      <c r="AJ481" t="s">
        <v>77</v>
      </c>
      <c r="AK481" t="s">
        <v>120</v>
      </c>
      <c r="AL481" t="s">
        <v>5872</v>
      </c>
      <c r="AM481" t="s">
        <v>76</v>
      </c>
      <c r="AN481" t="s">
        <v>70</v>
      </c>
      <c r="AO481" t="s">
        <v>5874</v>
      </c>
      <c r="AP481" t="s">
        <v>5875</v>
      </c>
      <c r="AQ481" t="s">
        <v>80</v>
      </c>
      <c r="AR481" t="s">
        <v>65</v>
      </c>
      <c r="AS481" t="s">
        <v>87</v>
      </c>
      <c r="AT481" t="s">
        <v>2523</v>
      </c>
      <c r="AU481" t="s">
        <v>83</v>
      </c>
      <c r="AV481" t="s">
        <v>5876</v>
      </c>
      <c r="AW481" t="str">
        <f>"3402520"</f>
        <v>3402520</v>
      </c>
    </row>
    <row r="482" spans="1:49">
      <c r="A482" t="str">
        <f t="shared" si="21"/>
        <v>27</v>
      </c>
      <c r="B482" t="s">
        <v>5842</v>
      </c>
      <c r="C482" t="str">
        <f>"0820"</f>
        <v>0820</v>
      </c>
      <c r="D482" t="s">
        <v>5877</v>
      </c>
      <c r="F482" t="s">
        <v>65</v>
      </c>
      <c r="G482" t="s">
        <v>1142</v>
      </c>
      <c r="H482" t="s">
        <v>5878</v>
      </c>
      <c r="I482" t="s">
        <v>89</v>
      </c>
      <c r="J482" s="2" t="s">
        <v>5879</v>
      </c>
      <c r="K482" t="s">
        <v>5880</v>
      </c>
      <c r="L482" t="s">
        <v>5881</v>
      </c>
      <c r="M482" t="s">
        <v>5882</v>
      </c>
      <c r="N482" t="s">
        <v>62</v>
      </c>
      <c r="O482" t="str">
        <f>"07930"</f>
        <v>07930</v>
      </c>
      <c r="P482" t="s">
        <v>5880</v>
      </c>
      <c r="Q482" t="s">
        <v>5883</v>
      </c>
      <c r="S482" t="s">
        <v>5882</v>
      </c>
      <c r="T482" t="s">
        <v>62</v>
      </c>
      <c r="U482" t="str">
        <f>"07930"</f>
        <v>07930</v>
      </c>
      <c r="W482" t="s">
        <v>5884</v>
      </c>
      <c r="X482" t="s">
        <v>54</v>
      </c>
      <c r="Y482" t="s">
        <v>2252</v>
      </c>
      <c r="Z482" t="s">
        <v>3868</v>
      </c>
      <c r="AA482" t="s">
        <v>112</v>
      </c>
      <c r="AB482" t="s">
        <v>65</v>
      </c>
      <c r="AC482" t="s">
        <v>2651</v>
      </c>
      <c r="AD482" t="s">
        <v>5885</v>
      </c>
      <c r="AE482" t="s">
        <v>587</v>
      </c>
      <c r="AF482" t="s">
        <v>77</v>
      </c>
      <c r="AG482" t="s">
        <v>1573</v>
      </c>
      <c r="AH482" t="s">
        <v>5886</v>
      </c>
      <c r="AI482" t="s">
        <v>73</v>
      </c>
      <c r="AJ482" t="s">
        <v>77</v>
      </c>
      <c r="AK482" t="s">
        <v>1573</v>
      </c>
      <c r="AL482" t="s">
        <v>5886</v>
      </c>
      <c r="AM482" t="s">
        <v>76</v>
      </c>
      <c r="AN482" t="s">
        <v>77</v>
      </c>
      <c r="AO482" t="s">
        <v>120</v>
      </c>
      <c r="AP482" t="s">
        <v>1981</v>
      </c>
      <c r="AQ482" t="s">
        <v>80</v>
      </c>
      <c r="AR482" t="s">
        <v>77</v>
      </c>
      <c r="AS482" t="s">
        <v>1573</v>
      </c>
      <c r="AT482" t="s">
        <v>5886</v>
      </c>
      <c r="AU482" t="s">
        <v>83</v>
      </c>
      <c r="AV482" t="s">
        <v>5887</v>
      </c>
      <c r="AW482" t="str">
        <f>"3403060"</f>
        <v>3403060</v>
      </c>
    </row>
    <row r="483" spans="1:49">
      <c r="A483" t="str">
        <f t="shared" si="21"/>
        <v>27</v>
      </c>
      <c r="B483" t="s">
        <v>5842</v>
      </c>
      <c r="C483" t="str">
        <f>"1090"</f>
        <v>1090</v>
      </c>
      <c r="D483" t="s">
        <v>5888</v>
      </c>
      <c r="F483" t="s">
        <v>65</v>
      </c>
      <c r="G483" t="s">
        <v>534</v>
      </c>
      <c r="H483" t="s">
        <v>5889</v>
      </c>
      <c r="I483" t="s">
        <v>89</v>
      </c>
      <c r="J483" s="2" t="s">
        <v>5890</v>
      </c>
      <c r="K483" t="s">
        <v>5891</v>
      </c>
      <c r="L483" t="s">
        <v>4710</v>
      </c>
      <c r="M483" t="s">
        <v>5892</v>
      </c>
      <c r="N483" t="s">
        <v>62</v>
      </c>
      <c r="O483" t="str">
        <f>"07834"</f>
        <v>07834</v>
      </c>
      <c r="P483" t="s">
        <v>5891</v>
      </c>
      <c r="Q483" t="s">
        <v>4711</v>
      </c>
      <c r="S483" t="s">
        <v>5892</v>
      </c>
      <c r="T483" t="s">
        <v>62</v>
      </c>
      <c r="U483" t="str">
        <f>"07834"</f>
        <v>07834</v>
      </c>
      <c r="W483" t="s">
        <v>5893</v>
      </c>
      <c r="X483" t="s">
        <v>54</v>
      </c>
      <c r="Y483" t="s">
        <v>5894</v>
      </c>
      <c r="Z483" t="s">
        <v>5895</v>
      </c>
      <c r="AA483" t="s">
        <v>135</v>
      </c>
      <c r="AB483" t="s">
        <v>54</v>
      </c>
      <c r="AC483" t="s">
        <v>1657</v>
      </c>
      <c r="AD483" t="s">
        <v>2523</v>
      </c>
      <c r="AE483" t="s">
        <v>587</v>
      </c>
      <c r="AF483" t="s">
        <v>54</v>
      </c>
      <c r="AG483" t="s">
        <v>1657</v>
      </c>
      <c r="AH483" t="s">
        <v>2523</v>
      </c>
      <c r="AI483" t="s">
        <v>73</v>
      </c>
      <c r="AJ483" t="s">
        <v>65</v>
      </c>
      <c r="AK483" t="s">
        <v>2472</v>
      </c>
      <c r="AL483" t="s">
        <v>5896</v>
      </c>
      <c r="AM483" t="s">
        <v>76</v>
      </c>
      <c r="AN483" t="s">
        <v>54</v>
      </c>
      <c r="AO483" t="s">
        <v>449</v>
      </c>
      <c r="AP483" t="s">
        <v>5897</v>
      </c>
      <c r="AQ483" t="s">
        <v>80</v>
      </c>
      <c r="AR483" t="s">
        <v>77</v>
      </c>
      <c r="AS483" t="s">
        <v>5898</v>
      </c>
      <c r="AT483" t="s">
        <v>5899</v>
      </c>
      <c r="AU483" t="s">
        <v>83</v>
      </c>
      <c r="AV483" t="s">
        <v>5900</v>
      </c>
      <c r="AW483" t="str">
        <f>"3403870"</f>
        <v>3403870</v>
      </c>
    </row>
    <row r="484" spans="1:49">
      <c r="A484" t="str">
        <f t="shared" si="21"/>
        <v>27</v>
      </c>
      <c r="B484" t="s">
        <v>5842</v>
      </c>
      <c r="C484" t="str">
        <f>"1110"</f>
        <v>1110</v>
      </c>
      <c r="D484" t="s">
        <v>5901</v>
      </c>
      <c r="F484" t="s">
        <v>65</v>
      </c>
      <c r="G484" t="s">
        <v>182</v>
      </c>
      <c r="H484" t="s">
        <v>2515</v>
      </c>
      <c r="I484" t="s">
        <v>89</v>
      </c>
      <c r="J484" s="2" t="s">
        <v>5902</v>
      </c>
      <c r="K484" t="s">
        <v>5903</v>
      </c>
      <c r="L484" t="s">
        <v>60</v>
      </c>
      <c r="M484" t="s">
        <v>5904</v>
      </c>
      <c r="N484" t="s">
        <v>62</v>
      </c>
      <c r="O484" t="s">
        <v>5905</v>
      </c>
      <c r="P484" t="s">
        <v>5903</v>
      </c>
      <c r="S484" t="s">
        <v>5904</v>
      </c>
      <c r="T484" t="s">
        <v>62</v>
      </c>
      <c r="U484" t="str">
        <f>"07801"</f>
        <v>07801</v>
      </c>
      <c r="V484" t="str">
        <f>"2644"</f>
        <v>2644</v>
      </c>
      <c r="W484" t="s">
        <v>5906</v>
      </c>
      <c r="X484" t="s">
        <v>77</v>
      </c>
      <c r="Y484" t="s">
        <v>182</v>
      </c>
      <c r="Z484" t="s">
        <v>5907</v>
      </c>
      <c r="AA484" t="s">
        <v>112</v>
      </c>
      <c r="AB484" t="s">
        <v>54</v>
      </c>
      <c r="AC484" t="s">
        <v>4912</v>
      </c>
      <c r="AD484" t="s">
        <v>5908</v>
      </c>
      <c r="AE484" t="s">
        <v>98</v>
      </c>
      <c r="AF484" t="s">
        <v>77</v>
      </c>
      <c r="AG484" t="s">
        <v>190</v>
      </c>
      <c r="AH484" t="s">
        <v>5909</v>
      </c>
      <c r="AI484" t="s">
        <v>73</v>
      </c>
      <c r="AJ484" t="s">
        <v>77</v>
      </c>
      <c r="AK484" t="s">
        <v>120</v>
      </c>
      <c r="AL484" t="s">
        <v>5910</v>
      </c>
      <c r="AM484" t="s">
        <v>76</v>
      </c>
      <c r="AR484" t="s">
        <v>77</v>
      </c>
      <c r="AS484" t="s">
        <v>367</v>
      </c>
      <c r="AT484" t="s">
        <v>5911</v>
      </c>
      <c r="AU484" t="s">
        <v>83</v>
      </c>
      <c r="AV484" t="s">
        <v>5912</v>
      </c>
      <c r="AW484" t="str">
        <f>"3403930"</f>
        <v>3403930</v>
      </c>
    </row>
    <row r="485" spans="1:49">
      <c r="A485" t="str">
        <f t="shared" si="21"/>
        <v>27</v>
      </c>
      <c r="B485" t="s">
        <v>5842</v>
      </c>
      <c r="C485" t="str">
        <f>"1190"</f>
        <v>1190</v>
      </c>
      <c r="D485" t="s">
        <v>5913</v>
      </c>
      <c r="F485" t="s">
        <v>54</v>
      </c>
      <c r="G485" t="s">
        <v>5914</v>
      </c>
      <c r="H485" t="s">
        <v>5915</v>
      </c>
      <c r="I485" t="s">
        <v>89</v>
      </c>
      <c r="J485" s="2" t="s">
        <v>5916</v>
      </c>
      <c r="K485" t="s">
        <v>5917</v>
      </c>
      <c r="L485" t="s">
        <v>60</v>
      </c>
      <c r="M485" t="s">
        <v>5918</v>
      </c>
      <c r="N485" t="s">
        <v>62</v>
      </c>
      <c r="O485" t="s">
        <v>5919</v>
      </c>
      <c r="P485" t="s">
        <v>5917</v>
      </c>
      <c r="S485" t="s">
        <v>5918</v>
      </c>
      <c r="T485" t="s">
        <v>62</v>
      </c>
      <c r="U485" t="str">
        <f>"07936"</f>
        <v>07936</v>
      </c>
      <c r="V485" t="str">
        <f>"2999"</f>
        <v>2999</v>
      </c>
      <c r="W485" t="s">
        <v>5920</v>
      </c>
      <c r="X485" t="s">
        <v>54</v>
      </c>
      <c r="Y485" t="s">
        <v>1720</v>
      </c>
      <c r="Z485" t="s">
        <v>5921</v>
      </c>
      <c r="AA485" t="s">
        <v>135</v>
      </c>
      <c r="AB485" t="s">
        <v>54</v>
      </c>
      <c r="AC485" t="s">
        <v>5922</v>
      </c>
      <c r="AD485" t="s">
        <v>5923</v>
      </c>
      <c r="AE485" t="s">
        <v>98</v>
      </c>
      <c r="AF485" t="s">
        <v>54</v>
      </c>
      <c r="AG485" t="s">
        <v>5922</v>
      </c>
      <c r="AH485" t="s">
        <v>5923</v>
      </c>
      <c r="AI485" t="s">
        <v>73</v>
      </c>
      <c r="AJ485" t="s">
        <v>77</v>
      </c>
      <c r="AK485" t="s">
        <v>120</v>
      </c>
      <c r="AL485" t="s">
        <v>5924</v>
      </c>
      <c r="AM485" t="s">
        <v>76</v>
      </c>
      <c r="AS485" t="s">
        <v>120</v>
      </c>
      <c r="AT485" t="s">
        <v>5924</v>
      </c>
      <c r="AU485" t="s">
        <v>83</v>
      </c>
      <c r="AV485" t="s">
        <v>5925</v>
      </c>
      <c r="AW485" t="str">
        <f>"3404170"</f>
        <v>3404170</v>
      </c>
    </row>
    <row r="486" spans="1:49">
      <c r="A486" t="str">
        <f t="shared" si="21"/>
        <v>27</v>
      </c>
      <c r="B486" t="s">
        <v>5842</v>
      </c>
      <c r="C486" t="str">
        <f>"3364"</f>
        <v>3364</v>
      </c>
      <c r="D486" t="s">
        <v>5926</v>
      </c>
      <c r="F486" t="s">
        <v>65</v>
      </c>
      <c r="G486" t="s">
        <v>4228</v>
      </c>
      <c r="H486" t="s">
        <v>4229</v>
      </c>
      <c r="I486" t="s">
        <v>89</v>
      </c>
      <c r="J486" s="2" t="s">
        <v>5927</v>
      </c>
      <c r="K486" t="s">
        <v>5928</v>
      </c>
      <c r="L486" t="s">
        <v>60</v>
      </c>
      <c r="M486" t="s">
        <v>5929</v>
      </c>
      <c r="N486" t="s">
        <v>62</v>
      </c>
      <c r="O486" t="str">
        <f>"07950"</f>
        <v>07950</v>
      </c>
      <c r="P486" t="s">
        <v>5928</v>
      </c>
      <c r="S486" t="s">
        <v>5929</v>
      </c>
      <c r="T486" t="s">
        <v>62</v>
      </c>
      <c r="U486" t="str">
        <f>"07950"</f>
        <v>07950</v>
      </c>
      <c r="W486" t="s">
        <v>5930</v>
      </c>
      <c r="X486" t="s">
        <v>70</v>
      </c>
      <c r="Y486" t="s">
        <v>5931</v>
      </c>
      <c r="Z486" t="s">
        <v>5932</v>
      </c>
      <c r="AA486" t="s">
        <v>135</v>
      </c>
      <c r="AB486" t="s">
        <v>70</v>
      </c>
      <c r="AC486" t="s">
        <v>4462</v>
      </c>
      <c r="AD486" t="s">
        <v>5933</v>
      </c>
      <c r="AE486" t="s">
        <v>69</v>
      </c>
      <c r="AF486" t="s">
        <v>70</v>
      </c>
      <c r="AG486" t="s">
        <v>4462</v>
      </c>
      <c r="AH486" t="s">
        <v>5933</v>
      </c>
      <c r="AI486" t="s">
        <v>73</v>
      </c>
      <c r="AJ486" t="s">
        <v>70</v>
      </c>
      <c r="AK486" t="s">
        <v>4462</v>
      </c>
      <c r="AL486" t="s">
        <v>5933</v>
      </c>
      <c r="AM486" t="s">
        <v>76</v>
      </c>
      <c r="AN486" t="s">
        <v>77</v>
      </c>
      <c r="AO486" t="s">
        <v>5934</v>
      </c>
      <c r="AP486" t="s">
        <v>5935</v>
      </c>
      <c r="AQ486" t="s">
        <v>80</v>
      </c>
      <c r="AR486" t="s">
        <v>70</v>
      </c>
      <c r="AS486" t="s">
        <v>4462</v>
      </c>
      <c r="AT486" t="s">
        <v>5933</v>
      </c>
      <c r="AU486" t="s">
        <v>83</v>
      </c>
      <c r="AV486" t="s">
        <v>5936</v>
      </c>
      <c r="AW486" t="str">
        <f>"3480260"</f>
        <v>3480260</v>
      </c>
    </row>
    <row r="487" spans="1:49">
      <c r="A487" t="str">
        <f t="shared" si="21"/>
        <v>27</v>
      </c>
      <c r="B487" t="s">
        <v>5842</v>
      </c>
      <c r="C487" t="str">
        <f>"1530"</f>
        <v>1530</v>
      </c>
      <c r="D487" t="s">
        <v>5937</v>
      </c>
      <c r="F487" t="s">
        <v>65</v>
      </c>
      <c r="G487" t="s">
        <v>534</v>
      </c>
      <c r="H487" t="s">
        <v>5938</v>
      </c>
      <c r="I487" t="s">
        <v>89</v>
      </c>
      <c r="J487" s="2" t="s">
        <v>5939</v>
      </c>
      <c r="K487" t="s">
        <v>5940</v>
      </c>
      <c r="L487" t="s">
        <v>60</v>
      </c>
      <c r="M487" t="s">
        <v>5941</v>
      </c>
      <c r="N487" t="s">
        <v>62</v>
      </c>
      <c r="O487" t="str">
        <f>"07932"</f>
        <v>07932</v>
      </c>
      <c r="P487" t="s">
        <v>5942</v>
      </c>
      <c r="S487" t="s">
        <v>5941</v>
      </c>
      <c r="T487" t="s">
        <v>62</v>
      </c>
      <c r="U487" t="str">
        <f>"07932"</f>
        <v>07932</v>
      </c>
      <c r="W487" t="s">
        <v>5943</v>
      </c>
      <c r="X487" t="s">
        <v>77</v>
      </c>
      <c r="Y487" t="s">
        <v>328</v>
      </c>
      <c r="Z487" t="s">
        <v>5944</v>
      </c>
      <c r="AA487" t="s">
        <v>68</v>
      </c>
      <c r="AB487" t="s">
        <v>70</v>
      </c>
      <c r="AC487" t="s">
        <v>2980</v>
      </c>
      <c r="AD487" t="s">
        <v>5945</v>
      </c>
      <c r="AE487" t="s">
        <v>98</v>
      </c>
      <c r="AF487" t="s">
        <v>70</v>
      </c>
      <c r="AG487" t="s">
        <v>849</v>
      </c>
      <c r="AH487" t="s">
        <v>5946</v>
      </c>
      <c r="AI487" t="s">
        <v>73</v>
      </c>
      <c r="AJ487" t="s">
        <v>77</v>
      </c>
      <c r="AK487" t="s">
        <v>212</v>
      </c>
      <c r="AL487" t="s">
        <v>5947</v>
      </c>
      <c r="AM487" t="s">
        <v>76</v>
      </c>
      <c r="AN487" t="s">
        <v>77</v>
      </c>
      <c r="AO487" t="s">
        <v>182</v>
      </c>
      <c r="AP487" t="s">
        <v>4164</v>
      </c>
      <c r="AQ487" t="s">
        <v>80</v>
      </c>
      <c r="AR487" t="s">
        <v>65</v>
      </c>
      <c r="AS487" t="s">
        <v>2378</v>
      </c>
      <c r="AT487" t="s">
        <v>5948</v>
      </c>
      <c r="AU487" t="s">
        <v>83</v>
      </c>
      <c r="AV487" t="s">
        <v>5949</v>
      </c>
      <c r="AW487" t="str">
        <f>"3405250"</f>
        <v>3405250</v>
      </c>
    </row>
    <row r="488" spans="1:49">
      <c r="A488" t="str">
        <f t="shared" si="21"/>
        <v>27</v>
      </c>
      <c r="B488" t="s">
        <v>5842</v>
      </c>
      <c r="C488" t="str">
        <f>"1990"</f>
        <v>1990</v>
      </c>
      <c r="D488" t="s">
        <v>5950</v>
      </c>
      <c r="G488" t="s">
        <v>536</v>
      </c>
      <c r="H488" t="s">
        <v>5951</v>
      </c>
      <c r="I488" t="s">
        <v>57</v>
      </c>
      <c r="J488" s="2" t="s">
        <v>5952</v>
      </c>
      <c r="K488" t="s">
        <v>5953</v>
      </c>
      <c r="L488" t="s">
        <v>60</v>
      </c>
      <c r="M488" t="s">
        <v>5918</v>
      </c>
      <c r="N488" t="s">
        <v>62</v>
      </c>
      <c r="O488" t="str">
        <f>"07936"</f>
        <v>07936</v>
      </c>
      <c r="P488" t="s">
        <v>5953</v>
      </c>
      <c r="S488" t="s">
        <v>5918</v>
      </c>
      <c r="T488" t="s">
        <v>62</v>
      </c>
      <c r="U488" t="str">
        <f>"07936"</f>
        <v>07936</v>
      </c>
      <c r="W488" t="s">
        <v>5954</v>
      </c>
      <c r="Y488" t="s">
        <v>273</v>
      </c>
      <c r="Z488" t="s">
        <v>1798</v>
      </c>
      <c r="AA488" t="s">
        <v>135</v>
      </c>
      <c r="AC488" t="s">
        <v>1653</v>
      </c>
      <c r="AD488" t="s">
        <v>5955</v>
      </c>
      <c r="AE488" t="s">
        <v>415</v>
      </c>
      <c r="AG488" t="s">
        <v>436</v>
      </c>
      <c r="AH488" t="s">
        <v>5956</v>
      </c>
      <c r="AI488" t="s">
        <v>73</v>
      </c>
      <c r="AK488" t="s">
        <v>5957</v>
      </c>
      <c r="AL488" t="s">
        <v>5958</v>
      </c>
      <c r="AM488" t="s">
        <v>76</v>
      </c>
      <c r="AO488" t="s">
        <v>319</v>
      </c>
      <c r="AP488" t="s">
        <v>5959</v>
      </c>
      <c r="AQ488" t="s">
        <v>80</v>
      </c>
      <c r="AS488" t="s">
        <v>319</v>
      </c>
      <c r="AT488" t="s">
        <v>4527</v>
      </c>
      <c r="AU488" t="s">
        <v>83</v>
      </c>
      <c r="AV488" t="s">
        <v>5960</v>
      </c>
      <c r="AW488" t="str">
        <f>"3406660"</f>
        <v>3406660</v>
      </c>
    </row>
    <row r="489" spans="1:49">
      <c r="A489" t="str">
        <f t="shared" si="21"/>
        <v>27</v>
      </c>
      <c r="B489" t="s">
        <v>5842</v>
      </c>
      <c r="C489" t="str">
        <f>"2000"</f>
        <v>2000</v>
      </c>
      <c r="D489" t="s">
        <v>5961</v>
      </c>
      <c r="F489" t="s">
        <v>77</v>
      </c>
      <c r="G489" t="s">
        <v>120</v>
      </c>
      <c r="H489" t="s">
        <v>5962</v>
      </c>
      <c r="I489" t="s">
        <v>89</v>
      </c>
      <c r="J489" s="2" t="s">
        <v>5963</v>
      </c>
      <c r="K489" t="s">
        <v>5964</v>
      </c>
      <c r="L489" t="s">
        <v>60</v>
      </c>
      <c r="M489" t="s">
        <v>5965</v>
      </c>
      <c r="N489" t="s">
        <v>62</v>
      </c>
      <c r="O489" t="str">
        <f>"07981"</f>
        <v>07981</v>
      </c>
      <c r="P489" t="s">
        <v>5964</v>
      </c>
      <c r="S489" t="s">
        <v>5965</v>
      </c>
      <c r="T489" t="s">
        <v>62</v>
      </c>
      <c r="U489" t="str">
        <f>"07981"</f>
        <v>07981</v>
      </c>
      <c r="W489" t="s">
        <v>5966</v>
      </c>
      <c r="X489" t="s">
        <v>54</v>
      </c>
      <c r="Y489" t="s">
        <v>1444</v>
      </c>
      <c r="Z489" t="s">
        <v>5967</v>
      </c>
      <c r="AA489" t="s">
        <v>135</v>
      </c>
      <c r="AB489" t="s">
        <v>77</v>
      </c>
      <c r="AC489" t="s">
        <v>3427</v>
      </c>
      <c r="AD489" t="s">
        <v>5968</v>
      </c>
      <c r="AE489" t="s">
        <v>98</v>
      </c>
      <c r="AF489" t="s">
        <v>77</v>
      </c>
      <c r="AG489" t="s">
        <v>1230</v>
      </c>
      <c r="AH489" t="s">
        <v>1141</v>
      </c>
      <c r="AI489" t="s">
        <v>73</v>
      </c>
      <c r="AJ489" t="s">
        <v>77</v>
      </c>
      <c r="AK489" t="s">
        <v>5969</v>
      </c>
      <c r="AL489" t="s">
        <v>5970</v>
      </c>
      <c r="AM489" t="s">
        <v>76</v>
      </c>
      <c r="AN489" t="s">
        <v>77</v>
      </c>
      <c r="AO489" t="s">
        <v>120</v>
      </c>
      <c r="AP489" t="s">
        <v>2462</v>
      </c>
      <c r="AQ489" t="s">
        <v>80</v>
      </c>
      <c r="AR489" t="s">
        <v>77</v>
      </c>
      <c r="AS489" t="s">
        <v>3427</v>
      </c>
      <c r="AT489" t="s">
        <v>5968</v>
      </c>
      <c r="AU489" t="s">
        <v>83</v>
      </c>
      <c r="AV489" t="s">
        <v>5971</v>
      </c>
      <c r="AW489" t="str">
        <f>"3406690"</f>
        <v>3406690</v>
      </c>
    </row>
    <row r="490" spans="1:49">
      <c r="A490" t="str">
        <f t="shared" si="21"/>
        <v>27</v>
      </c>
      <c r="B490" t="s">
        <v>5842</v>
      </c>
      <c r="C490" t="str">
        <f>"2010"</f>
        <v>2010</v>
      </c>
      <c r="D490" t="s">
        <v>5972</v>
      </c>
      <c r="F490" t="s">
        <v>77</v>
      </c>
      <c r="G490" t="s">
        <v>281</v>
      </c>
      <c r="H490" t="s">
        <v>5973</v>
      </c>
      <c r="I490" t="s">
        <v>57</v>
      </c>
      <c r="J490" s="2" t="s">
        <v>5974</v>
      </c>
      <c r="K490" t="s">
        <v>5975</v>
      </c>
      <c r="L490" t="s">
        <v>60</v>
      </c>
      <c r="M490" t="s">
        <v>5976</v>
      </c>
      <c r="N490" t="s">
        <v>62</v>
      </c>
      <c r="O490" t="str">
        <f>"07976"</f>
        <v>07976</v>
      </c>
      <c r="P490" t="s">
        <v>5975</v>
      </c>
      <c r="Q490" t="s">
        <v>5977</v>
      </c>
      <c r="S490" t="s">
        <v>5976</v>
      </c>
      <c r="T490" t="s">
        <v>62</v>
      </c>
      <c r="U490" t="str">
        <f>"07976"</f>
        <v>07976</v>
      </c>
      <c r="V490" t="str">
        <f>"0248"</f>
        <v>0248</v>
      </c>
      <c r="W490" t="s">
        <v>5978</v>
      </c>
      <c r="X490" t="s">
        <v>77</v>
      </c>
      <c r="Y490" t="s">
        <v>1030</v>
      </c>
      <c r="Z490" t="s">
        <v>5979</v>
      </c>
      <c r="AA490" t="s">
        <v>112</v>
      </c>
      <c r="AB490" t="s">
        <v>77</v>
      </c>
      <c r="AC490" t="s">
        <v>287</v>
      </c>
      <c r="AD490" t="s">
        <v>5980</v>
      </c>
      <c r="AE490" t="s">
        <v>115</v>
      </c>
      <c r="AF490" t="s">
        <v>54</v>
      </c>
      <c r="AG490" t="s">
        <v>838</v>
      </c>
      <c r="AH490" t="s">
        <v>5981</v>
      </c>
      <c r="AI490" t="s">
        <v>73</v>
      </c>
      <c r="AJ490" t="s">
        <v>54</v>
      </c>
      <c r="AK490" t="s">
        <v>5982</v>
      </c>
      <c r="AL490" t="s">
        <v>5983</v>
      </c>
      <c r="AM490" t="s">
        <v>76</v>
      </c>
      <c r="AR490" t="s">
        <v>54</v>
      </c>
      <c r="AS490" t="s">
        <v>838</v>
      </c>
      <c r="AT490" t="s">
        <v>5981</v>
      </c>
      <c r="AU490" t="s">
        <v>83</v>
      </c>
      <c r="AV490" t="s">
        <v>5984</v>
      </c>
      <c r="AW490" t="str">
        <f>"3406720"</f>
        <v>3406720</v>
      </c>
    </row>
    <row r="491" spans="1:49">
      <c r="A491" t="str">
        <f t="shared" si="21"/>
        <v>27</v>
      </c>
      <c r="B491" t="s">
        <v>5842</v>
      </c>
      <c r="C491" t="str">
        <f>"2380"</f>
        <v>2380</v>
      </c>
      <c r="D491" t="s">
        <v>5985</v>
      </c>
      <c r="F491" t="s">
        <v>54</v>
      </c>
      <c r="G491" t="s">
        <v>1220</v>
      </c>
      <c r="H491" t="s">
        <v>5343</v>
      </c>
      <c r="I491" t="s">
        <v>89</v>
      </c>
      <c r="J491" s="2" t="s">
        <v>5986</v>
      </c>
      <c r="K491" t="s">
        <v>5987</v>
      </c>
      <c r="L491" t="s">
        <v>60</v>
      </c>
      <c r="M491" t="s">
        <v>5988</v>
      </c>
      <c r="N491" t="s">
        <v>62</v>
      </c>
      <c r="O491" t="str">
        <f>"07849"</f>
        <v>07849</v>
      </c>
      <c r="P491" t="s">
        <v>5987</v>
      </c>
      <c r="S491" t="s">
        <v>5988</v>
      </c>
      <c r="T491" t="s">
        <v>62</v>
      </c>
      <c r="U491" t="str">
        <f>"07849"</f>
        <v>07849</v>
      </c>
      <c r="W491" t="s">
        <v>5989</v>
      </c>
      <c r="X491" t="s">
        <v>54</v>
      </c>
      <c r="Y491" t="s">
        <v>2052</v>
      </c>
      <c r="Z491" t="s">
        <v>5990</v>
      </c>
      <c r="AA491" t="s">
        <v>135</v>
      </c>
      <c r="AB491" t="s">
        <v>70</v>
      </c>
      <c r="AC491" t="s">
        <v>5991</v>
      </c>
      <c r="AD491" t="s">
        <v>4172</v>
      </c>
      <c r="AE491" t="s">
        <v>98</v>
      </c>
      <c r="AF491" t="s">
        <v>54</v>
      </c>
      <c r="AG491" t="s">
        <v>5992</v>
      </c>
      <c r="AH491" t="s">
        <v>4095</v>
      </c>
      <c r="AI491" t="s">
        <v>73</v>
      </c>
      <c r="AJ491" t="s">
        <v>54</v>
      </c>
      <c r="AK491" t="s">
        <v>5992</v>
      </c>
      <c r="AL491" t="s">
        <v>4095</v>
      </c>
      <c r="AM491" t="s">
        <v>76</v>
      </c>
      <c r="AN491" t="s">
        <v>77</v>
      </c>
      <c r="AO491" t="s">
        <v>873</v>
      </c>
      <c r="AP491" t="s">
        <v>5993</v>
      </c>
      <c r="AQ491" t="s">
        <v>80</v>
      </c>
      <c r="AR491" t="s">
        <v>54</v>
      </c>
      <c r="AS491" t="s">
        <v>1220</v>
      </c>
      <c r="AT491" t="s">
        <v>5343</v>
      </c>
      <c r="AU491" t="s">
        <v>83</v>
      </c>
      <c r="AV491" t="s">
        <v>5994</v>
      </c>
      <c r="AW491" t="str">
        <f>"3407800"</f>
        <v>3407800</v>
      </c>
    </row>
    <row r="492" spans="1:49">
      <c r="A492" t="str">
        <f t="shared" si="21"/>
        <v>27</v>
      </c>
      <c r="B492" t="s">
        <v>5842</v>
      </c>
      <c r="C492" t="str">
        <f>"2460"</f>
        <v>2460</v>
      </c>
      <c r="D492" t="s">
        <v>5995</v>
      </c>
      <c r="F492" t="s">
        <v>70</v>
      </c>
      <c r="G492" t="s">
        <v>1017</v>
      </c>
      <c r="H492" t="s">
        <v>5996</v>
      </c>
      <c r="I492" t="s">
        <v>89</v>
      </c>
      <c r="J492" s="2" t="s">
        <v>5997</v>
      </c>
      <c r="K492" t="s">
        <v>5998</v>
      </c>
      <c r="L492" t="s">
        <v>60</v>
      </c>
      <c r="M492" t="s">
        <v>5999</v>
      </c>
      <c r="N492" t="s">
        <v>62</v>
      </c>
      <c r="O492" t="str">
        <f>"07405"</f>
        <v>07405</v>
      </c>
      <c r="P492" t="s">
        <v>5998</v>
      </c>
      <c r="S492" t="s">
        <v>5999</v>
      </c>
      <c r="T492" t="s">
        <v>62</v>
      </c>
      <c r="U492" t="str">
        <f>"07405"</f>
        <v>07405</v>
      </c>
      <c r="W492" t="s">
        <v>6000</v>
      </c>
      <c r="X492" t="s">
        <v>70</v>
      </c>
      <c r="Y492" t="s">
        <v>1111</v>
      </c>
      <c r="Z492" t="s">
        <v>6001</v>
      </c>
      <c r="AA492" t="s">
        <v>112</v>
      </c>
      <c r="AB492" t="s">
        <v>54</v>
      </c>
      <c r="AC492" t="s">
        <v>6002</v>
      </c>
      <c r="AD492" t="s">
        <v>97</v>
      </c>
      <c r="AE492" t="s">
        <v>98</v>
      </c>
      <c r="AF492" t="s">
        <v>70</v>
      </c>
      <c r="AG492" t="s">
        <v>6003</v>
      </c>
      <c r="AH492" t="s">
        <v>1012</v>
      </c>
      <c r="AI492" t="s">
        <v>73</v>
      </c>
      <c r="AJ492" t="s">
        <v>54</v>
      </c>
      <c r="AK492" t="s">
        <v>6004</v>
      </c>
      <c r="AL492" t="s">
        <v>6005</v>
      </c>
      <c r="AM492" t="s">
        <v>76</v>
      </c>
      <c r="AN492" t="s">
        <v>77</v>
      </c>
      <c r="AO492" t="s">
        <v>358</v>
      </c>
      <c r="AP492" t="s">
        <v>6006</v>
      </c>
      <c r="AQ492" t="s">
        <v>80</v>
      </c>
      <c r="AR492" t="s">
        <v>77</v>
      </c>
      <c r="AS492" t="s">
        <v>687</v>
      </c>
      <c r="AT492" t="s">
        <v>6007</v>
      </c>
      <c r="AU492" t="s">
        <v>83</v>
      </c>
      <c r="AV492" t="s">
        <v>6008</v>
      </c>
      <c r="AW492" t="str">
        <f>"3408040"</f>
        <v>3408040</v>
      </c>
    </row>
    <row r="493" spans="1:49">
      <c r="A493" t="str">
        <f t="shared" si="21"/>
        <v>27</v>
      </c>
      <c r="B493" t="s">
        <v>5842</v>
      </c>
      <c r="C493" t="str">
        <f>"2650"</f>
        <v>2650</v>
      </c>
      <c r="D493" t="s">
        <v>6009</v>
      </c>
      <c r="G493" t="s">
        <v>120</v>
      </c>
      <c r="H493" t="s">
        <v>4979</v>
      </c>
      <c r="I493" t="s">
        <v>89</v>
      </c>
      <c r="J493" s="2" t="s">
        <v>6010</v>
      </c>
      <c r="K493" t="s">
        <v>6011</v>
      </c>
      <c r="L493" t="s">
        <v>60</v>
      </c>
      <c r="M493" t="s">
        <v>6012</v>
      </c>
      <c r="N493" t="s">
        <v>62</v>
      </c>
      <c r="O493" t="str">
        <f>"07035"</f>
        <v>07035</v>
      </c>
      <c r="P493" t="s">
        <v>6011</v>
      </c>
      <c r="S493" t="s">
        <v>6012</v>
      </c>
      <c r="T493" t="s">
        <v>62</v>
      </c>
      <c r="U493" t="str">
        <f>"07035"</f>
        <v>07035</v>
      </c>
      <c r="W493" t="s">
        <v>6013</v>
      </c>
      <c r="Y493" t="s">
        <v>371</v>
      </c>
      <c r="Z493" t="s">
        <v>6014</v>
      </c>
      <c r="AA493" t="s">
        <v>112</v>
      </c>
      <c r="AC493" t="s">
        <v>6015</v>
      </c>
      <c r="AD493" t="s">
        <v>6016</v>
      </c>
      <c r="AE493" t="s">
        <v>98</v>
      </c>
      <c r="AG493" t="s">
        <v>6015</v>
      </c>
      <c r="AH493" t="s">
        <v>6016</v>
      </c>
      <c r="AI493" t="s">
        <v>73</v>
      </c>
      <c r="AK493" t="s">
        <v>190</v>
      </c>
      <c r="AL493" t="s">
        <v>6017</v>
      </c>
      <c r="AM493" t="s">
        <v>76</v>
      </c>
      <c r="AO493" t="s">
        <v>994</v>
      </c>
      <c r="AP493" t="s">
        <v>6018</v>
      </c>
      <c r="AQ493" t="s">
        <v>80</v>
      </c>
      <c r="AR493" t="s">
        <v>77</v>
      </c>
      <c r="AS493" t="s">
        <v>190</v>
      </c>
      <c r="AT493" t="s">
        <v>6017</v>
      </c>
      <c r="AU493" t="s">
        <v>83</v>
      </c>
      <c r="AV493" t="s">
        <v>6019</v>
      </c>
      <c r="AW493" t="str">
        <f>"3408580"</f>
        <v>3408580</v>
      </c>
    </row>
    <row r="494" spans="1:49">
      <c r="A494" t="str">
        <f t="shared" si="21"/>
        <v>27</v>
      </c>
      <c r="B494" t="s">
        <v>5842</v>
      </c>
      <c r="C494" t="str">
        <f>"4000"</f>
        <v>4000</v>
      </c>
      <c r="D494" t="s">
        <v>6020</v>
      </c>
      <c r="F494" t="s">
        <v>65</v>
      </c>
      <c r="G494" t="s">
        <v>1528</v>
      </c>
      <c r="H494" t="s">
        <v>6021</v>
      </c>
      <c r="I494" t="s">
        <v>89</v>
      </c>
      <c r="J494" s="2" t="s">
        <v>6022</v>
      </c>
      <c r="K494" t="s">
        <v>6023</v>
      </c>
      <c r="L494" t="s">
        <v>60</v>
      </c>
      <c r="M494" t="s">
        <v>6024</v>
      </c>
      <c r="N494" t="s">
        <v>62</v>
      </c>
      <c r="O494" t="str">
        <f>"07933"</f>
        <v>07933</v>
      </c>
      <c r="P494" t="s">
        <v>6023</v>
      </c>
      <c r="S494" t="s">
        <v>6024</v>
      </c>
      <c r="T494" t="s">
        <v>62</v>
      </c>
      <c r="U494" t="str">
        <f>"07933"</f>
        <v>07933</v>
      </c>
      <c r="W494" t="s">
        <v>6025</v>
      </c>
      <c r="X494" t="s">
        <v>70</v>
      </c>
      <c r="Y494" t="s">
        <v>1207</v>
      </c>
      <c r="Z494" t="s">
        <v>6026</v>
      </c>
      <c r="AA494" t="s">
        <v>135</v>
      </c>
      <c r="AB494" t="s">
        <v>54</v>
      </c>
      <c r="AC494" t="s">
        <v>6027</v>
      </c>
      <c r="AD494" t="s">
        <v>6028</v>
      </c>
      <c r="AE494" t="s">
        <v>587</v>
      </c>
      <c r="AF494" t="s">
        <v>65</v>
      </c>
      <c r="AG494" t="s">
        <v>1666</v>
      </c>
      <c r="AH494" t="s">
        <v>3204</v>
      </c>
      <c r="AI494" t="s">
        <v>73</v>
      </c>
      <c r="AJ494" t="s">
        <v>70</v>
      </c>
      <c r="AK494" t="s">
        <v>716</v>
      </c>
      <c r="AL494" t="s">
        <v>6029</v>
      </c>
      <c r="AM494" t="s">
        <v>76</v>
      </c>
      <c r="AR494" t="s">
        <v>65</v>
      </c>
      <c r="AS494" t="s">
        <v>1528</v>
      </c>
      <c r="AT494" t="s">
        <v>6021</v>
      </c>
      <c r="AU494" t="s">
        <v>83</v>
      </c>
      <c r="AV494" t="s">
        <v>6030</v>
      </c>
      <c r="AW494" t="str">
        <f>"3412660"</f>
        <v>3412660</v>
      </c>
    </row>
    <row r="495" spans="1:49">
      <c r="A495" t="str">
        <f t="shared" si="21"/>
        <v>27</v>
      </c>
      <c r="B495" t="s">
        <v>5842</v>
      </c>
      <c r="C495" t="str">
        <f>"2870"</f>
        <v>2870</v>
      </c>
      <c r="D495" t="s">
        <v>6031</v>
      </c>
      <c r="F495" t="s">
        <v>77</v>
      </c>
      <c r="G495" t="s">
        <v>404</v>
      </c>
      <c r="H495" t="s">
        <v>5380</v>
      </c>
      <c r="I495" t="s">
        <v>89</v>
      </c>
      <c r="J495" s="2" t="s">
        <v>6032</v>
      </c>
      <c r="K495" t="s">
        <v>6033</v>
      </c>
      <c r="L495" t="s">
        <v>60</v>
      </c>
      <c r="M495" t="s">
        <v>6034</v>
      </c>
      <c r="N495" t="s">
        <v>62</v>
      </c>
      <c r="O495" t="str">
        <f>"07940"</f>
        <v>07940</v>
      </c>
      <c r="P495" t="s">
        <v>6033</v>
      </c>
      <c r="S495" t="s">
        <v>6034</v>
      </c>
      <c r="T495" t="s">
        <v>62</v>
      </c>
      <c r="U495" t="str">
        <f>"07940"</f>
        <v>07940</v>
      </c>
      <c r="W495" t="s">
        <v>6035</v>
      </c>
      <c r="X495" t="s">
        <v>70</v>
      </c>
      <c r="Y495" t="s">
        <v>1250</v>
      </c>
      <c r="Z495" t="s">
        <v>6036</v>
      </c>
      <c r="AA495" t="s">
        <v>135</v>
      </c>
      <c r="AB495" t="s">
        <v>65</v>
      </c>
      <c r="AC495" t="s">
        <v>373</v>
      </c>
      <c r="AD495" t="s">
        <v>5528</v>
      </c>
      <c r="AE495" t="s">
        <v>868</v>
      </c>
      <c r="AF495" t="s">
        <v>65</v>
      </c>
      <c r="AG495" t="s">
        <v>373</v>
      </c>
      <c r="AH495" t="s">
        <v>5528</v>
      </c>
      <c r="AI495" t="s">
        <v>73</v>
      </c>
      <c r="AJ495" t="s">
        <v>77</v>
      </c>
      <c r="AK495" t="s">
        <v>87</v>
      </c>
      <c r="AL495" t="s">
        <v>974</v>
      </c>
      <c r="AM495" t="s">
        <v>76</v>
      </c>
      <c r="AN495" t="s">
        <v>77</v>
      </c>
      <c r="AO495" t="s">
        <v>328</v>
      </c>
      <c r="AP495" t="s">
        <v>6037</v>
      </c>
      <c r="AQ495" t="s">
        <v>80</v>
      </c>
      <c r="AR495" t="s">
        <v>77</v>
      </c>
      <c r="AS495" t="s">
        <v>190</v>
      </c>
      <c r="AT495" t="s">
        <v>6038</v>
      </c>
      <c r="AU495" t="s">
        <v>83</v>
      </c>
      <c r="AV495" t="s">
        <v>6039</v>
      </c>
      <c r="AW495" t="str">
        <f>"3409240"</f>
        <v>3409240</v>
      </c>
    </row>
    <row r="496" spans="1:49">
      <c r="A496" t="str">
        <f t="shared" si="21"/>
        <v>27</v>
      </c>
      <c r="B496" t="s">
        <v>5842</v>
      </c>
      <c r="C496" t="str">
        <f>"3090"</f>
        <v>3090</v>
      </c>
      <c r="D496" t="s">
        <v>6040</v>
      </c>
      <c r="F496" t="s">
        <v>65</v>
      </c>
      <c r="G496" t="s">
        <v>6041</v>
      </c>
      <c r="H496" t="s">
        <v>6042</v>
      </c>
      <c r="I496" t="s">
        <v>89</v>
      </c>
      <c r="J496" s="2" t="s">
        <v>6043</v>
      </c>
      <c r="K496" t="s">
        <v>6044</v>
      </c>
      <c r="L496" t="s">
        <v>60</v>
      </c>
      <c r="M496" t="s">
        <v>6045</v>
      </c>
      <c r="N496" t="s">
        <v>62</v>
      </c>
      <c r="O496" t="str">
        <f>"07945"</f>
        <v>07945</v>
      </c>
      <c r="P496" t="s">
        <v>6044</v>
      </c>
      <c r="S496" t="s">
        <v>6045</v>
      </c>
      <c r="T496" t="s">
        <v>62</v>
      </c>
      <c r="U496" t="str">
        <f>"07945"</f>
        <v>07945</v>
      </c>
      <c r="W496" t="s">
        <v>6046</v>
      </c>
      <c r="X496" t="s">
        <v>54</v>
      </c>
      <c r="Y496" t="s">
        <v>6047</v>
      </c>
      <c r="Z496" t="s">
        <v>6048</v>
      </c>
      <c r="AA496" t="s">
        <v>135</v>
      </c>
      <c r="AB496" t="s">
        <v>54</v>
      </c>
      <c r="AC496" t="s">
        <v>1250</v>
      </c>
      <c r="AD496" t="s">
        <v>6049</v>
      </c>
      <c r="AE496" t="s">
        <v>98</v>
      </c>
      <c r="AF496" t="s">
        <v>77</v>
      </c>
      <c r="AG496" t="s">
        <v>190</v>
      </c>
      <c r="AH496" t="s">
        <v>2218</v>
      </c>
      <c r="AI496" t="s">
        <v>73</v>
      </c>
      <c r="AJ496" t="s">
        <v>77</v>
      </c>
      <c r="AK496" t="s">
        <v>190</v>
      </c>
      <c r="AL496" t="s">
        <v>6050</v>
      </c>
      <c r="AM496" t="s">
        <v>76</v>
      </c>
      <c r="AN496" t="s">
        <v>54</v>
      </c>
      <c r="AO496" t="s">
        <v>6051</v>
      </c>
      <c r="AP496" t="s">
        <v>6052</v>
      </c>
      <c r="AQ496" t="s">
        <v>80</v>
      </c>
      <c r="AR496" t="s">
        <v>65</v>
      </c>
      <c r="AS496" t="s">
        <v>6041</v>
      </c>
      <c r="AT496" t="s">
        <v>6042</v>
      </c>
      <c r="AU496" t="s">
        <v>83</v>
      </c>
      <c r="AV496" t="s">
        <v>6053</v>
      </c>
      <c r="AW496" t="str">
        <f>"3409900"</f>
        <v>3409900</v>
      </c>
    </row>
    <row r="497" spans="1:49">
      <c r="A497" t="str">
        <f t="shared" si="21"/>
        <v>27</v>
      </c>
      <c r="B497" t="s">
        <v>5842</v>
      </c>
      <c r="C497" t="str">
        <f>"3100"</f>
        <v>3100</v>
      </c>
      <c r="D497" t="s">
        <v>6054</v>
      </c>
      <c r="F497" t="s">
        <v>65</v>
      </c>
      <c r="G497" t="s">
        <v>3169</v>
      </c>
      <c r="H497" t="s">
        <v>6055</v>
      </c>
      <c r="I497" t="s">
        <v>89</v>
      </c>
      <c r="J497" s="2" t="s">
        <v>6056</v>
      </c>
      <c r="K497" t="s">
        <v>6057</v>
      </c>
      <c r="L497" t="s">
        <v>60</v>
      </c>
      <c r="M497" t="s">
        <v>6058</v>
      </c>
      <c r="N497" t="s">
        <v>62</v>
      </c>
      <c r="O497" t="str">
        <f>"07926"</f>
        <v>07926</v>
      </c>
      <c r="P497" t="s">
        <v>6059</v>
      </c>
      <c r="S497" t="s">
        <v>6058</v>
      </c>
      <c r="T497" t="s">
        <v>62</v>
      </c>
      <c r="U497" t="str">
        <f>"07926"</f>
        <v>07926</v>
      </c>
      <c r="V497" t="str">
        <f>"0510"</f>
        <v>0510</v>
      </c>
      <c r="W497" t="s">
        <v>6060</v>
      </c>
      <c r="X497" t="s">
        <v>54</v>
      </c>
      <c r="Y497" t="s">
        <v>1346</v>
      </c>
      <c r="Z497" t="s">
        <v>6061</v>
      </c>
      <c r="AA497" t="s">
        <v>112</v>
      </c>
      <c r="AB497" t="s">
        <v>77</v>
      </c>
      <c r="AC497" t="s">
        <v>873</v>
      </c>
      <c r="AD497" t="s">
        <v>6062</v>
      </c>
      <c r="AE497" t="s">
        <v>98</v>
      </c>
      <c r="AF497" t="s">
        <v>77</v>
      </c>
      <c r="AG497" t="s">
        <v>873</v>
      </c>
      <c r="AH497" t="s">
        <v>6062</v>
      </c>
      <c r="AI497" t="s">
        <v>73</v>
      </c>
      <c r="AJ497" t="s">
        <v>65</v>
      </c>
      <c r="AK497" t="s">
        <v>3169</v>
      </c>
      <c r="AL497" t="s">
        <v>6055</v>
      </c>
      <c r="AM497" t="s">
        <v>76</v>
      </c>
      <c r="AN497" t="s">
        <v>77</v>
      </c>
      <c r="AO497" t="s">
        <v>994</v>
      </c>
      <c r="AP497" t="s">
        <v>6063</v>
      </c>
      <c r="AQ497" t="s">
        <v>80</v>
      </c>
      <c r="AR497" t="s">
        <v>77</v>
      </c>
      <c r="AS497" t="s">
        <v>873</v>
      </c>
      <c r="AT497" t="s">
        <v>6062</v>
      </c>
      <c r="AU497" t="s">
        <v>83</v>
      </c>
      <c r="AV497" t="s">
        <v>6064</v>
      </c>
      <c r="AW497" t="str">
        <f>"3409930"</f>
        <v>3409930</v>
      </c>
    </row>
    <row r="498" spans="1:49">
      <c r="A498" t="str">
        <f t="shared" si="21"/>
        <v>27</v>
      </c>
      <c r="B498" t="s">
        <v>5842</v>
      </c>
      <c r="C498" t="str">
        <f>"3240"</f>
        <v>3240</v>
      </c>
      <c r="D498" t="s">
        <v>6065</v>
      </c>
      <c r="F498" t="s">
        <v>77</v>
      </c>
      <c r="G498" t="s">
        <v>222</v>
      </c>
      <c r="H498" t="s">
        <v>6066</v>
      </c>
      <c r="I498" t="s">
        <v>89</v>
      </c>
      <c r="J498" s="2" t="s">
        <v>6067</v>
      </c>
      <c r="K498" t="s">
        <v>6068</v>
      </c>
      <c r="L498" t="s">
        <v>60</v>
      </c>
      <c r="M498" t="s">
        <v>6069</v>
      </c>
      <c r="N498" t="s">
        <v>62</v>
      </c>
      <c r="O498" t="str">
        <f>"07803"</f>
        <v>07803</v>
      </c>
      <c r="P498" t="s">
        <v>6068</v>
      </c>
      <c r="S498" t="s">
        <v>6069</v>
      </c>
      <c r="T498" t="s">
        <v>62</v>
      </c>
      <c r="U498" t="str">
        <f>"07803"</f>
        <v>07803</v>
      </c>
      <c r="W498" t="s">
        <v>6070</v>
      </c>
      <c r="X498" t="s">
        <v>54</v>
      </c>
      <c r="Y498" t="s">
        <v>6071</v>
      </c>
      <c r="Z498" t="s">
        <v>1181</v>
      </c>
      <c r="AA498" t="s">
        <v>135</v>
      </c>
      <c r="AB498" t="s">
        <v>54</v>
      </c>
      <c r="AC498" t="s">
        <v>1117</v>
      </c>
      <c r="AD498" t="s">
        <v>6072</v>
      </c>
      <c r="AE498" t="s">
        <v>98</v>
      </c>
      <c r="AF498" t="s">
        <v>77</v>
      </c>
      <c r="AG498" t="s">
        <v>965</v>
      </c>
      <c r="AH498" t="s">
        <v>6073</v>
      </c>
      <c r="AI498" t="s">
        <v>73</v>
      </c>
      <c r="AJ498" t="s">
        <v>77</v>
      </c>
      <c r="AK498" t="s">
        <v>965</v>
      </c>
      <c r="AL498" t="s">
        <v>6073</v>
      </c>
      <c r="AM498" t="s">
        <v>76</v>
      </c>
      <c r="AN498" t="s">
        <v>77</v>
      </c>
      <c r="AO498" t="s">
        <v>418</v>
      </c>
      <c r="AP498" t="s">
        <v>1981</v>
      </c>
      <c r="AQ498" t="s">
        <v>80</v>
      </c>
      <c r="AR498" t="s">
        <v>77</v>
      </c>
      <c r="AS498" t="s">
        <v>222</v>
      </c>
      <c r="AT498" t="s">
        <v>6066</v>
      </c>
      <c r="AU498" t="s">
        <v>83</v>
      </c>
      <c r="AV498" t="s">
        <v>6074</v>
      </c>
      <c r="AW498" t="str">
        <f>"3410350"</f>
        <v>3410350</v>
      </c>
    </row>
    <row r="499" spans="1:49">
      <c r="A499" t="str">
        <f t="shared" si="21"/>
        <v>27</v>
      </c>
      <c r="B499" t="s">
        <v>5842</v>
      </c>
      <c r="C499" t="str">
        <f>"3340"</f>
        <v>3340</v>
      </c>
      <c r="D499" t="s">
        <v>6075</v>
      </c>
      <c r="F499" t="s">
        <v>65</v>
      </c>
      <c r="G499" t="s">
        <v>2132</v>
      </c>
      <c r="H499" t="s">
        <v>6076</v>
      </c>
      <c r="I499" t="s">
        <v>89</v>
      </c>
      <c r="J499" s="2" t="s">
        <v>6077</v>
      </c>
      <c r="K499" t="s">
        <v>6078</v>
      </c>
      <c r="L499" t="s">
        <v>60</v>
      </c>
      <c r="M499" t="s">
        <v>6079</v>
      </c>
      <c r="N499" t="s">
        <v>62</v>
      </c>
      <c r="O499" t="s">
        <v>6080</v>
      </c>
      <c r="P499" t="s">
        <v>6078</v>
      </c>
      <c r="S499" t="s">
        <v>6079</v>
      </c>
      <c r="T499" t="s">
        <v>62</v>
      </c>
      <c r="U499" t="str">
        <f>"07045"</f>
        <v>07045</v>
      </c>
      <c r="V499" t="str">
        <f>"9421"</f>
        <v>9421</v>
      </c>
      <c r="W499" t="s">
        <v>6081</v>
      </c>
      <c r="Y499" t="s">
        <v>6082</v>
      </c>
      <c r="Z499" t="s">
        <v>6083</v>
      </c>
      <c r="AA499" t="s">
        <v>135</v>
      </c>
      <c r="AC499" t="s">
        <v>155</v>
      </c>
      <c r="AD499" t="s">
        <v>6084</v>
      </c>
      <c r="AE499" t="s">
        <v>98</v>
      </c>
      <c r="AG499" t="s">
        <v>6085</v>
      </c>
      <c r="AH499" t="s">
        <v>6086</v>
      </c>
      <c r="AI499" t="s">
        <v>73</v>
      </c>
      <c r="AK499" t="s">
        <v>1796</v>
      </c>
      <c r="AL499" t="s">
        <v>6087</v>
      </c>
      <c r="AM499" t="s">
        <v>76</v>
      </c>
      <c r="AO499" t="s">
        <v>1823</v>
      </c>
      <c r="AP499" t="s">
        <v>6088</v>
      </c>
      <c r="AQ499" t="s">
        <v>80</v>
      </c>
      <c r="AR499" t="s">
        <v>65</v>
      </c>
      <c r="AS499" t="s">
        <v>1796</v>
      </c>
      <c r="AT499" t="s">
        <v>6087</v>
      </c>
      <c r="AU499" t="s">
        <v>83</v>
      </c>
      <c r="AV499" t="s">
        <v>6089</v>
      </c>
      <c r="AW499" t="str">
        <f>"3410650"</f>
        <v>3410650</v>
      </c>
    </row>
    <row r="500" spans="1:49">
      <c r="A500" t="str">
        <f t="shared" si="21"/>
        <v>27</v>
      </c>
      <c r="B500" t="s">
        <v>5842</v>
      </c>
      <c r="C500" t="str">
        <f>"3365"</f>
        <v>3365</v>
      </c>
      <c r="D500" t="s">
        <v>6090</v>
      </c>
      <c r="G500" t="s">
        <v>436</v>
      </c>
      <c r="H500" t="s">
        <v>6091</v>
      </c>
      <c r="I500" t="s">
        <v>89</v>
      </c>
      <c r="J500" s="2" t="s">
        <v>6092</v>
      </c>
      <c r="K500" t="s">
        <v>6093</v>
      </c>
      <c r="L500" t="s">
        <v>60</v>
      </c>
      <c r="M500" t="s">
        <v>5892</v>
      </c>
      <c r="N500" t="s">
        <v>62</v>
      </c>
      <c r="O500" t="str">
        <f>"07834"</f>
        <v>07834</v>
      </c>
      <c r="P500" t="s">
        <v>6093</v>
      </c>
      <c r="S500" t="s">
        <v>5892</v>
      </c>
      <c r="T500" t="s">
        <v>62</v>
      </c>
      <c r="U500" t="str">
        <f>"07834"</f>
        <v>07834</v>
      </c>
      <c r="W500" t="s">
        <v>6094</v>
      </c>
      <c r="Y500" t="s">
        <v>182</v>
      </c>
      <c r="Z500" t="s">
        <v>6095</v>
      </c>
      <c r="AA500" t="s">
        <v>135</v>
      </c>
      <c r="AC500" t="s">
        <v>6096</v>
      </c>
      <c r="AD500" t="s">
        <v>6097</v>
      </c>
      <c r="AE500" t="s">
        <v>98</v>
      </c>
      <c r="AG500" t="s">
        <v>6096</v>
      </c>
      <c r="AH500" t="s">
        <v>6097</v>
      </c>
      <c r="AI500" t="s">
        <v>73</v>
      </c>
      <c r="AK500" t="s">
        <v>6096</v>
      </c>
      <c r="AL500" t="s">
        <v>6097</v>
      </c>
      <c r="AM500" t="s">
        <v>76</v>
      </c>
      <c r="AO500" t="s">
        <v>697</v>
      </c>
      <c r="AP500" t="s">
        <v>6098</v>
      </c>
      <c r="AQ500" t="s">
        <v>80</v>
      </c>
      <c r="AS500" t="s">
        <v>404</v>
      </c>
      <c r="AT500" t="s">
        <v>6099</v>
      </c>
      <c r="AU500" t="s">
        <v>83</v>
      </c>
      <c r="AV500" t="s">
        <v>6100</v>
      </c>
      <c r="AW500" t="str">
        <f>"3410720"</f>
        <v>3410720</v>
      </c>
    </row>
    <row r="501" spans="1:49">
      <c r="A501" t="str">
        <f t="shared" si="21"/>
        <v>27</v>
      </c>
      <c r="B501" t="s">
        <v>5842</v>
      </c>
      <c r="C501" t="str">
        <f>"3370"</f>
        <v>3370</v>
      </c>
      <c r="D501" t="s">
        <v>6101</v>
      </c>
      <c r="F501" t="s">
        <v>77</v>
      </c>
      <c r="G501" t="s">
        <v>182</v>
      </c>
      <c r="H501" t="s">
        <v>6102</v>
      </c>
      <c r="I501" t="s">
        <v>89</v>
      </c>
      <c r="J501" s="2" t="s">
        <v>6103</v>
      </c>
      <c r="K501" t="s">
        <v>6104</v>
      </c>
      <c r="L501" t="s">
        <v>60</v>
      </c>
      <c r="M501" t="s">
        <v>5892</v>
      </c>
      <c r="N501" t="s">
        <v>62</v>
      </c>
      <c r="O501" t="str">
        <f>"07834"</f>
        <v>07834</v>
      </c>
      <c r="P501" t="s">
        <v>6104</v>
      </c>
      <c r="S501" t="s">
        <v>6105</v>
      </c>
      <c r="T501" t="s">
        <v>62</v>
      </c>
      <c r="U501" t="str">
        <f>"07866"</f>
        <v>07866</v>
      </c>
      <c r="W501" t="s">
        <v>6106</v>
      </c>
      <c r="X501" t="s">
        <v>54</v>
      </c>
      <c r="Y501" t="s">
        <v>6107</v>
      </c>
      <c r="Z501" t="s">
        <v>6108</v>
      </c>
      <c r="AA501" t="s">
        <v>135</v>
      </c>
      <c r="AB501" t="s">
        <v>54</v>
      </c>
      <c r="AC501" t="s">
        <v>1486</v>
      </c>
      <c r="AD501" t="s">
        <v>6109</v>
      </c>
      <c r="AE501" t="s">
        <v>98</v>
      </c>
      <c r="AF501" t="s">
        <v>54</v>
      </c>
      <c r="AG501" t="s">
        <v>1486</v>
      </c>
      <c r="AH501" t="s">
        <v>6109</v>
      </c>
      <c r="AI501" t="s">
        <v>73</v>
      </c>
      <c r="AJ501" t="s">
        <v>65</v>
      </c>
      <c r="AK501" t="s">
        <v>6110</v>
      </c>
      <c r="AL501" t="s">
        <v>6111</v>
      </c>
      <c r="AM501" t="s">
        <v>76</v>
      </c>
      <c r="AN501" t="s">
        <v>77</v>
      </c>
      <c r="AO501" t="s">
        <v>4194</v>
      </c>
      <c r="AP501" t="s">
        <v>1012</v>
      </c>
      <c r="AQ501" t="s">
        <v>80</v>
      </c>
      <c r="AR501" t="s">
        <v>77</v>
      </c>
      <c r="AS501" t="s">
        <v>358</v>
      </c>
      <c r="AT501" t="s">
        <v>4454</v>
      </c>
      <c r="AU501" t="s">
        <v>83</v>
      </c>
      <c r="AV501" t="s">
        <v>6112</v>
      </c>
      <c r="AW501" t="str">
        <f>"3410740"</f>
        <v>3410740</v>
      </c>
    </row>
    <row r="502" spans="1:49">
      <c r="A502" t="str">
        <f t="shared" si="21"/>
        <v>27</v>
      </c>
      <c r="B502" t="s">
        <v>5842</v>
      </c>
      <c r="C502" t="str">
        <f>"3380"</f>
        <v>3380</v>
      </c>
      <c r="D502" t="s">
        <v>6113</v>
      </c>
      <c r="F502" t="s">
        <v>77</v>
      </c>
      <c r="G502" t="s">
        <v>391</v>
      </c>
      <c r="H502" t="s">
        <v>6114</v>
      </c>
      <c r="I502" t="s">
        <v>89</v>
      </c>
      <c r="J502" s="2" t="s">
        <v>6115</v>
      </c>
      <c r="K502" t="s">
        <v>6116</v>
      </c>
      <c r="L502" t="s">
        <v>6117</v>
      </c>
      <c r="M502" t="s">
        <v>6118</v>
      </c>
      <c r="N502" t="s">
        <v>62</v>
      </c>
      <c r="O502" t="str">
        <f>"07950"</f>
        <v>07950</v>
      </c>
      <c r="P502" t="s">
        <v>6116</v>
      </c>
      <c r="Q502" t="s">
        <v>6119</v>
      </c>
      <c r="S502" t="s">
        <v>6118</v>
      </c>
      <c r="T502" t="s">
        <v>62</v>
      </c>
      <c r="U502" t="str">
        <f>"07950"</f>
        <v>07950</v>
      </c>
      <c r="W502" t="s">
        <v>6120</v>
      </c>
      <c r="X502" t="s">
        <v>70</v>
      </c>
      <c r="Y502" t="s">
        <v>3284</v>
      </c>
      <c r="Z502" t="s">
        <v>6121</v>
      </c>
      <c r="AA502" t="s">
        <v>68</v>
      </c>
      <c r="AB502" t="s">
        <v>70</v>
      </c>
      <c r="AC502" t="s">
        <v>6122</v>
      </c>
      <c r="AD502" t="s">
        <v>6123</v>
      </c>
      <c r="AE502" t="s">
        <v>98</v>
      </c>
      <c r="AF502" t="s">
        <v>54</v>
      </c>
      <c r="AG502" t="s">
        <v>6124</v>
      </c>
      <c r="AH502" t="s">
        <v>6125</v>
      </c>
      <c r="AI502" t="s">
        <v>73</v>
      </c>
      <c r="AJ502" t="s">
        <v>77</v>
      </c>
      <c r="AK502" t="s">
        <v>6126</v>
      </c>
      <c r="AL502" t="s">
        <v>6127</v>
      </c>
      <c r="AM502" t="s">
        <v>76</v>
      </c>
      <c r="AR502" t="s">
        <v>70</v>
      </c>
      <c r="AS502" t="s">
        <v>3284</v>
      </c>
      <c r="AT502" t="s">
        <v>6121</v>
      </c>
      <c r="AU502" t="s">
        <v>83</v>
      </c>
      <c r="AV502" t="s">
        <v>6128</v>
      </c>
      <c r="AW502" t="str">
        <f>"3410770"</f>
        <v>3410770</v>
      </c>
    </row>
    <row r="503" spans="1:49">
      <c r="A503" t="str">
        <f t="shared" si="21"/>
        <v>27</v>
      </c>
      <c r="B503" t="s">
        <v>5842</v>
      </c>
      <c r="C503" t="str">
        <f>"3385"</f>
        <v>3385</v>
      </c>
      <c r="D503" t="s">
        <v>6129</v>
      </c>
      <c r="F503" t="s">
        <v>77</v>
      </c>
      <c r="G503" t="s">
        <v>6130</v>
      </c>
      <c r="H503" t="s">
        <v>6131</v>
      </c>
      <c r="I503" t="s">
        <v>57</v>
      </c>
      <c r="J503" s="2" t="s">
        <v>6132</v>
      </c>
      <c r="K503" t="s">
        <v>6133</v>
      </c>
      <c r="L503" t="s">
        <v>60</v>
      </c>
      <c r="M503" t="s">
        <v>6134</v>
      </c>
      <c r="N503" t="s">
        <v>62</v>
      </c>
      <c r="O503" t="str">
        <f>"07960"</f>
        <v>07960</v>
      </c>
      <c r="P503" t="s">
        <v>6133</v>
      </c>
      <c r="S503" t="s">
        <v>6134</v>
      </c>
      <c r="T503" t="s">
        <v>62</v>
      </c>
      <c r="U503" t="str">
        <f>"07960"</f>
        <v>07960</v>
      </c>
      <c r="W503" t="s">
        <v>6135</v>
      </c>
      <c r="X503" t="s">
        <v>77</v>
      </c>
      <c r="Y503" t="s">
        <v>166</v>
      </c>
      <c r="Z503" t="s">
        <v>6136</v>
      </c>
      <c r="AA503" t="s">
        <v>135</v>
      </c>
      <c r="AB503" t="s">
        <v>77</v>
      </c>
      <c r="AC503" t="s">
        <v>667</v>
      </c>
      <c r="AD503" t="s">
        <v>6137</v>
      </c>
      <c r="AE503" t="s">
        <v>415</v>
      </c>
      <c r="AF503" t="s">
        <v>70</v>
      </c>
      <c r="AG503" t="s">
        <v>6138</v>
      </c>
      <c r="AH503" t="s">
        <v>6139</v>
      </c>
      <c r="AI503" t="s">
        <v>73</v>
      </c>
      <c r="AJ503" t="s">
        <v>70</v>
      </c>
      <c r="AK503" t="s">
        <v>649</v>
      </c>
      <c r="AL503" t="s">
        <v>6140</v>
      </c>
      <c r="AM503" t="s">
        <v>76</v>
      </c>
      <c r="AN503" t="s">
        <v>77</v>
      </c>
      <c r="AO503" t="s">
        <v>4346</v>
      </c>
      <c r="AP503" t="s">
        <v>6141</v>
      </c>
      <c r="AQ503" t="s">
        <v>80</v>
      </c>
      <c r="AR503" t="s">
        <v>77</v>
      </c>
      <c r="AS503" t="s">
        <v>6130</v>
      </c>
      <c r="AT503" t="s">
        <v>6131</v>
      </c>
      <c r="AU503" t="s">
        <v>83</v>
      </c>
      <c r="AV503" t="s">
        <v>6142</v>
      </c>
      <c r="AW503" t="str">
        <f>"3410810"</f>
        <v>3410810</v>
      </c>
    </row>
    <row r="504" spans="1:49">
      <c r="A504" t="str">
        <f t="shared" si="21"/>
        <v>27</v>
      </c>
      <c r="B504" t="s">
        <v>5842</v>
      </c>
      <c r="C504" t="str">
        <f>"3410"</f>
        <v>3410</v>
      </c>
      <c r="D504" t="s">
        <v>6143</v>
      </c>
      <c r="F504" t="s">
        <v>70</v>
      </c>
      <c r="G504" t="s">
        <v>851</v>
      </c>
      <c r="H504" t="s">
        <v>6144</v>
      </c>
      <c r="I504" t="s">
        <v>57</v>
      </c>
      <c r="J504" s="2" t="s">
        <v>6145</v>
      </c>
      <c r="K504" t="s">
        <v>6146</v>
      </c>
      <c r="L504" t="s">
        <v>60</v>
      </c>
      <c r="M504" t="s">
        <v>6147</v>
      </c>
      <c r="N504" t="s">
        <v>62</v>
      </c>
      <c r="O504" t="s">
        <v>6148</v>
      </c>
      <c r="P504" t="s">
        <v>6146</v>
      </c>
      <c r="S504" t="s">
        <v>6147</v>
      </c>
      <c r="T504" t="s">
        <v>62</v>
      </c>
      <c r="U504" t="str">
        <f>"07856"</f>
        <v>07856</v>
      </c>
      <c r="V504" t="str">
        <f>"1120"</f>
        <v>1120</v>
      </c>
      <c r="W504" t="s">
        <v>6149</v>
      </c>
      <c r="X504" t="s">
        <v>54</v>
      </c>
      <c r="Y504" t="s">
        <v>347</v>
      </c>
      <c r="Z504" t="s">
        <v>6150</v>
      </c>
      <c r="AA504" t="s">
        <v>135</v>
      </c>
      <c r="AB504" t="s">
        <v>54</v>
      </c>
      <c r="AC504" t="s">
        <v>155</v>
      </c>
      <c r="AD504" t="s">
        <v>6151</v>
      </c>
      <c r="AE504" t="s">
        <v>69</v>
      </c>
      <c r="AF504" t="s">
        <v>77</v>
      </c>
      <c r="AG504" t="s">
        <v>338</v>
      </c>
      <c r="AH504" t="s">
        <v>6152</v>
      </c>
      <c r="AI504" t="s">
        <v>73</v>
      </c>
      <c r="AJ504" t="s">
        <v>54</v>
      </c>
      <c r="AK504" t="s">
        <v>6153</v>
      </c>
      <c r="AL504" t="s">
        <v>4979</v>
      </c>
      <c r="AM504" t="s">
        <v>76</v>
      </c>
      <c r="AN504" t="s">
        <v>77</v>
      </c>
      <c r="AO504" t="s">
        <v>1430</v>
      </c>
      <c r="AP504" t="s">
        <v>6154</v>
      </c>
      <c r="AQ504" t="s">
        <v>80</v>
      </c>
      <c r="AR504" t="s">
        <v>70</v>
      </c>
      <c r="AS504" t="s">
        <v>851</v>
      </c>
      <c r="AT504" t="s">
        <v>6144</v>
      </c>
      <c r="AU504" t="s">
        <v>83</v>
      </c>
      <c r="AV504" t="s">
        <v>6155</v>
      </c>
      <c r="AW504" t="str">
        <f>"3410860"</f>
        <v>3410860</v>
      </c>
    </row>
    <row r="505" spans="1:49" s="1" customFormat="1">
      <c r="A505" s="1" t="str">
        <f t="shared" si="21"/>
        <v>27</v>
      </c>
      <c r="B505" s="1" t="s">
        <v>5842</v>
      </c>
      <c r="C505" s="1" t="str">
        <f>"3450"</f>
        <v>3450</v>
      </c>
      <c r="D505" s="1" t="s">
        <v>6156</v>
      </c>
      <c r="F505" s="1" t="s">
        <v>65</v>
      </c>
      <c r="G505" s="1" t="s">
        <v>873</v>
      </c>
      <c r="H505" s="1" t="s">
        <v>6157</v>
      </c>
      <c r="I505" s="1" t="s">
        <v>57</v>
      </c>
      <c r="J505" s="1" t="s">
        <v>6158</v>
      </c>
      <c r="K505" s="1" t="s">
        <v>6159</v>
      </c>
      <c r="L505" s="1" t="s">
        <v>6160</v>
      </c>
      <c r="M505" s="1" t="s">
        <v>6161</v>
      </c>
      <c r="N505" s="1" t="s">
        <v>62</v>
      </c>
      <c r="O505" s="1" t="str">
        <f>"07836"</f>
        <v>07836</v>
      </c>
      <c r="P505" s="1" t="s">
        <v>6159</v>
      </c>
      <c r="Q505" s="1" t="s">
        <v>6162</v>
      </c>
      <c r="S505" s="1" t="s">
        <v>6161</v>
      </c>
      <c r="T505" s="1" t="s">
        <v>62</v>
      </c>
      <c r="U505" s="1" t="str">
        <f>"07836"</f>
        <v>07836</v>
      </c>
      <c r="W505" s="1" t="s">
        <v>6163</v>
      </c>
      <c r="X505" s="1" t="s">
        <v>54</v>
      </c>
      <c r="Y505" s="1" t="s">
        <v>4741</v>
      </c>
      <c r="Z505" s="1" t="s">
        <v>6164</v>
      </c>
      <c r="AA505" s="1" t="s">
        <v>112</v>
      </c>
      <c r="AB505" s="1" t="s">
        <v>70</v>
      </c>
      <c r="AC505" s="1" t="s">
        <v>140</v>
      </c>
      <c r="AD505" s="1" t="s">
        <v>6165</v>
      </c>
      <c r="AE505" s="1" t="s">
        <v>98</v>
      </c>
      <c r="AF505" s="1" t="s">
        <v>65</v>
      </c>
      <c r="AG505" s="1" t="s">
        <v>541</v>
      </c>
      <c r="AH505" s="1" t="s">
        <v>6166</v>
      </c>
      <c r="AI505" s="1" t="s">
        <v>73</v>
      </c>
      <c r="AJ505" s="1" t="s">
        <v>65</v>
      </c>
      <c r="AK505" s="1" t="s">
        <v>273</v>
      </c>
      <c r="AL505" s="1" t="s">
        <v>6167</v>
      </c>
      <c r="AM505" s="1" t="s">
        <v>2393</v>
      </c>
      <c r="AR505" s="1" t="s">
        <v>77</v>
      </c>
      <c r="AS505" s="1" t="s">
        <v>182</v>
      </c>
      <c r="AT505" s="1" t="s">
        <v>6168</v>
      </c>
      <c r="AU505" s="1" t="s">
        <v>83</v>
      </c>
      <c r="AV505" s="1" t="s">
        <v>6169</v>
      </c>
      <c r="AW505" s="1" t="str">
        <f>"3410980"</f>
        <v>3410980</v>
      </c>
    </row>
    <row r="506" spans="1:49">
      <c r="A506" t="str">
        <f t="shared" si="21"/>
        <v>27</v>
      </c>
      <c r="B506" t="s">
        <v>5842</v>
      </c>
      <c r="C506" t="str">
        <f>"3460"</f>
        <v>3460</v>
      </c>
      <c r="D506" t="s">
        <v>6170</v>
      </c>
      <c r="F506" t="s">
        <v>77</v>
      </c>
      <c r="G506" t="s">
        <v>120</v>
      </c>
      <c r="H506" t="s">
        <v>6171</v>
      </c>
      <c r="I506" t="s">
        <v>89</v>
      </c>
      <c r="J506" s="2" t="s">
        <v>6172</v>
      </c>
      <c r="K506" t="s">
        <v>6173</v>
      </c>
      <c r="L506" t="s">
        <v>60</v>
      </c>
      <c r="M506" t="s">
        <v>6174</v>
      </c>
      <c r="N506" t="s">
        <v>62</v>
      </c>
      <c r="O506" t="str">
        <f>"07046"</f>
        <v>07046</v>
      </c>
      <c r="P506" t="s">
        <v>6173</v>
      </c>
      <c r="S506" t="s">
        <v>6174</v>
      </c>
      <c r="T506" t="s">
        <v>62</v>
      </c>
      <c r="U506" t="str">
        <f>"07046"</f>
        <v>07046</v>
      </c>
      <c r="W506" t="s">
        <v>6175</v>
      </c>
      <c r="X506" t="s">
        <v>77</v>
      </c>
      <c r="Y506" t="s">
        <v>5134</v>
      </c>
      <c r="Z506" t="s">
        <v>6176</v>
      </c>
      <c r="AA506" t="s">
        <v>68</v>
      </c>
      <c r="AB506" t="s">
        <v>70</v>
      </c>
      <c r="AC506" t="s">
        <v>1111</v>
      </c>
      <c r="AD506" t="s">
        <v>6177</v>
      </c>
      <c r="AE506" t="s">
        <v>98</v>
      </c>
      <c r="AF506" t="s">
        <v>54</v>
      </c>
      <c r="AG506" t="s">
        <v>1448</v>
      </c>
      <c r="AH506" t="s">
        <v>6178</v>
      </c>
      <c r="AI506" t="s">
        <v>73</v>
      </c>
      <c r="AJ506" t="s">
        <v>54</v>
      </c>
      <c r="AK506" t="s">
        <v>3020</v>
      </c>
      <c r="AL506" t="s">
        <v>3092</v>
      </c>
      <c r="AM506" t="s">
        <v>76</v>
      </c>
      <c r="AN506" t="s">
        <v>77</v>
      </c>
      <c r="AO506" t="s">
        <v>6179</v>
      </c>
      <c r="AP506" t="s">
        <v>6180</v>
      </c>
      <c r="AQ506" t="s">
        <v>80</v>
      </c>
      <c r="AR506" t="s">
        <v>77</v>
      </c>
      <c r="AS506" t="s">
        <v>367</v>
      </c>
      <c r="AT506" t="s">
        <v>6181</v>
      </c>
      <c r="AU506" t="s">
        <v>83</v>
      </c>
      <c r="AV506" t="s">
        <v>6182</v>
      </c>
      <c r="AW506" t="str">
        <f>"3411010"</f>
        <v>3411010</v>
      </c>
    </row>
    <row r="507" spans="1:49">
      <c r="A507" t="str">
        <f t="shared" si="21"/>
        <v>27</v>
      </c>
      <c r="B507" t="s">
        <v>5842</v>
      </c>
      <c r="C507" t="str">
        <f>"3520"</f>
        <v>3520</v>
      </c>
      <c r="D507" t="s">
        <v>6183</v>
      </c>
      <c r="F507" t="s">
        <v>54</v>
      </c>
      <c r="G507" t="s">
        <v>771</v>
      </c>
      <c r="H507" t="s">
        <v>1026</v>
      </c>
      <c r="I507" t="s">
        <v>89</v>
      </c>
      <c r="J507" s="2" t="s">
        <v>6184</v>
      </c>
      <c r="K507" t="s">
        <v>6185</v>
      </c>
      <c r="L507" t="s">
        <v>60</v>
      </c>
      <c r="M507" t="s">
        <v>6186</v>
      </c>
      <c r="N507" t="s">
        <v>62</v>
      </c>
      <c r="O507" t="str">
        <f>"07857"</f>
        <v>07857</v>
      </c>
      <c r="P507" t="s">
        <v>6185</v>
      </c>
      <c r="Q507" t="s">
        <v>6187</v>
      </c>
      <c r="S507" t="s">
        <v>6186</v>
      </c>
      <c r="T507" t="s">
        <v>62</v>
      </c>
      <c r="U507" t="str">
        <f>"07857"</f>
        <v>07857</v>
      </c>
      <c r="W507" t="s">
        <v>6188</v>
      </c>
      <c r="X507" t="s">
        <v>77</v>
      </c>
      <c r="Y507" t="s">
        <v>555</v>
      </c>
      <c r="Z507" t="s">
        <v>6189</v>
      </c>
      <c r="AA507" t="s">
        <v>112</v>
      </c>
      <c r="AB507" t="s">
        <v>54</v>
      </c>
      <c r="AC507" t="s">
        <v>2012</v>
      </c>
      <c r="AD507" t="s">
        <v>1704</v>
      </c>
      <c r="AE507" t="s">
        <v>181</v>
      </c>
      <c r="AF507" t="s">
        <v>77</v>
      </c>
      <c r="AG507" t="s">
        <v>6190</v>
      </c>
      <c r="AH507" t="s">
        <v>6191</v>
      </c>
      <c r="AI507" t="s">
        <v>73</v>
      </c>
      <c r="AJ507" t="s">
        <v>77</v>
      </c>
      <c r="AK507" t="s">
        <v>6190</v>
      </c>
      <c r="AL507" t="s">
        <v>6191</v>
      </c>
      <c r="AM507" t="s">
        <v>76</v>
      </c>
      <c r="AR507" t="s">
        <v>54</v>
      </c>
      <c r="AS507" t="s">
        <v>771</v>
      </c>
      <c r="AT507" t="s">
        <v>1026</v>
      </c>
      <c r="AU507" t="s">
        <v>83</v>
      </c>
      <c r="AV507" t="s">
        <v>6192</v>
      </c>
      <c r="AW507" t="str">
        <f>"3411190"</f>
        <v>3411190</v>
      </c>
    </row>
    <row r="508" spans="1:49">
      <c r="A508" t="str">
        <f t="shared" si="21"/>
        <v>27</v>
      </c>
      <c r="B508" t="s">
        <v>5842</v>
      </c>
      <c r="C508" t="str">
        <f>"3950"</f>
        <v>3950</v>
      </c>
      <c r="D508" t="s">
        <v>6193</v>
      </c>
      <c r="F508" t="s">
        <v>65</v>
      </c>
      <c r="G508" t="s">
        <v>353</v>
      </c>
      <c r="H508" t="s">
        <v>4091</v>
      </c>
      <c r="I508" t="s">
        <v>89</v>
      </c>
      <c r="J508" s="2" t="s">
        <v>6194</v>
      </c>
      <c r="K508" t="s">
        <v>6195</v>
      </c>
      <c r="L508" t="s">
        <v>60</v>
      </c>
      <c r="M508" t="s">
        <v>6196</v>
      </c>
      <c r="N508" t="s">
        <v>62</v>
      </c>
      <c r="O508" t="str">
        <f>"07054"</f>
        <v>07054</v>
      </c>
      <c r="P508" t="s">
        <v>6195</v>
      </c>
      <c r="S508" t="s">
        <v>6196</v>
      </c>
      <c r="T508" t="s">
        <v>62</v>
      </c>
      <c r="U508" t="str">
        <f>"07054"</f>
        <v>07054</v>
      </c>
      <c r="W508" t="s">
        <v>6197</v>
      </c>
      <c r="X508" t="s">
        <v>65</v>
      </c>
      <c r="Y508" t="s">
        <v>4291</v>
      </c>
      <c r="Z508" t="s">
        <v>6198</v>
      </c>
      <c r="AA508" t="s">
        <v>112</v>
      </c>
      <c r="AB508" t="s">
        <v>77</v>
      </c>
      <c r="AC508" t="s">
        <v>697</v>
      </c>
      <c r="AD508" t="s">
        <v>6199</v>
      </c>
      <c r="AE508" t="s">
        <v>98</v>
      </c>
      <c r="AF508" t="s">
        <v>54</v>
      </c>
      <c r="AG508" t="s">
        <v>6200</v>
      </c>
      <c r="AH508" t="s">
        <v>6201</v>
      </c>
      <c r="AI508" t="s">
        <v>73</v>
      </c>
      <c r="AJ508" t="s">
        <v>65</v>
      </c>
      <c r="AK508" t="s">
        <v>1837</v>
      </c>
      <c r="AL508" t="s">
        <v>6202</v>
      </c>
      <c r="AM508" t="s">
        <v>76</v>
      </c>
      <c r="AN508" t="s">
        <v>65</v>
      </c>
      <c r="AO508" t="s">
        <v>1837</v>
      </c>
      <c r="AP508" t="s">
        <v>6202</v>
      </c>
      <c r="AQ508" t="s">
        <v>80</v>
      </c>
      <c r="AR508" t="s">
        <v>65</v>
      </c>
      <c r="AS508" t="s">
        <v>353</v>
      </c>
      <c r="AT508" t="s">
        <v>4091</v>
      </c>
      <c r="AU508" t="s">
        <v>83</v>
      </c>
      <c r="AV508" t="s">
        <v>6203</v>
      </c>
      <c r="AW508" t="str">
        <f>"3412480"</f>
        <v>3412480</v>
      </c>
    </row>
    <row r="509" spans="1:49">
      <c r="A509" t="str">
        <f t="shared" si="21"/>
        <v>27</v>
      </c>
      <c r="B509" t="s">
        <v>5842</v>
      </c>
      <c r="C509" t="str">
        <f>"4080"</f>
        <v>4080</v>
      </c>
      <c r="D509" t="s">
        <v>6204</v>
      </c>
      <c r="F509" t="s">
        <v>77</v>
      </c>
      <c r="G509" t="s">
        <v>120</v>
      </c>
      <c r="H509" t="s">
        <v>6205</v>
      </c>
      <c r="I509" t="s">
        <v>89</v>
      </c>
      <c r="J509" s="2" t="s">
        <v>6206</v>
      </c>
      <c r="K509" t="s">
        <v>6207</v>
      </c>
      <c r="L509" t="s">
        <v>60</v>
      </c>
      <c r="M509" t="s">
        <v>6208</v>
      </c>
      <c r="N509" t="s">
        <v>62</v>
      </c>
      <c r="O509" t="str">
        <f>"07444"</f>
        <v>07444</v>
      </c>
      <c r="P509" t="s">
        <v>6207</v>
      </c>
      <c r="S509" t="s">
        <v>6208</v>
      </c>
      <c r="T509" t="s">
        <v>62</v>
      </c>
      <c r="U509" t="str">
        <f>"07444"</f>
        <v>07444</v>
      </c>
      <c r="W509" t="s">
        <v>6209</v>
      </c>
      <c r="X509" t="s">
        <v>54</v>
      </c>
      <c r="Y509" t="s">
        <v>6210</v>
      </c>
      <c r="Z509" t="s">
        <v>6211</v>
      </c>
      <c r="AA509" t="s">
        <v>135</v>
      </c>
      <c r="AB509" t="s">
        <v>70</v>
      </c>
      <c r="AC509" t="s">
        <v>6212</v>
      </c>
      <c r="AD509" t="s">
        <v>6213</v>
      </c>
      <c r="AE509" t="s">
        <v>69</v>
      </c>
      <c r="AF509" t="s">
        <v>70</v>
      </c>
      <c r="AG509" t="s">
        <v>3295</v>
      </c>
      <c r="AH509" t="s">
        <v>319</v>
      </c>
      <c r="AI509" t="s">
        <v>73</v>
      </c>
      <c r="AJ509" t="s">
        <v>65</v>
      </c>
      <c r="AK509" t="s">
        <v>1684</v>
      </c>
      <c r="AL509" t="s">
        <v>608</v>
      </c>
      <c r="AM509" t="s">
        <v>76</v>
      </c>
      <c r="AN509" t="s">
        <v>77</v>
      </c>
      <c r="AO509" t="s">
        <v>2575</v>
      </c>
      <c r="AP509" t="s">
        <v>3428</v>
      </c>
      <c r="AQ509" t="s">
        <v>80</v>
      </c>
      <c r="AR509" t="s">
        <v>77</v>
      </c>
      <c r="AS509" t="s">
        <v>6214</v>
      </c>
      <c r="AT509" t="s">
        <v>6215</v>
      </c>
      <c r="AU509" t="s">
        <v>83</v>
      </c>
      <c r="AV509" t="s">
        <v>6216</v>
      </c>
      <c r="AW509" t="str">
        <f>"3412900"</f>
        <v>3412900</v>
      </c>
    </row>
    <row r="510" spans="1:49">
      <c r="A510" t="str">
        <f t="shared" si="21"/>
        <v>27</v>
      </c>
      <c r="B510" t="s">
        <v>5842</v>
      </c>
      <c r="C510" t="str">
        <f>"4330"</f>
        <v>4330</v>
      </c>
      <c r="D510" t="s">
        <v>6217</v>
      </c>
      <c r="F510" t="s">
        <v>70</v>
      </c>
      <c r="G510" t="s">
        <v>155</v>
      </c>
      <c r="H510" t="s">
        <v>6218</v>
      </c>
      <c r="I510" t="s">
        <v>89</v>
      </c>
      <c r="J510" s="2" t="s">
        <v>6219</v>
      </c>
      <c r="K510" t="s">
        <v>6220</v>
      </c>
      <c r="L510" t="s">
        <v>60</v>
      </c>
      <c r="M510" t="s">
        <v>221</v>
      </c>
      <c r="N510" t="s">
        <v>62</v>
      </c>
      <c r="O510" t="str">
        <f>"07869"</f>
        <v>07869</v>
      </c>
      <c r="P510" t="s">
        <v>6220</v>
      </c>
      <c r="S510" t="s">
        <v>221</v>
      </c>
      <c r="T510" t="s">
        <v>62</v>
      </c>
      <c r="U510" t="str">
        <f>"07869"</f>
        <v>07869</v>
      </c>
      <c r="W510" t="s">
        <v>6221</v>
      </c>
      <c r="X510" t="s">
        <v>77</v>
      </c>
      <c r="Y510" t="s">
        <v>6222</v>
      </c>
      <c r="Z510" t="s">
        <v>6223</v>
      </c>
      <c r="AA510" t="s">
        <v>135</v>
      </c>
      <c r="AB510" t="s">
        <v>77</v>
      </c>
      <c r="AC510" t="s">
        <v>6224</v>
      </c>
      <c r="AD510" t="s">
        <v>6225</v>
      </c>
      <c r="AE510" t="s">
        <v>98</v>
      </c>
      <c r="AF510" t="s">
        <v>65</v>
      </c>
      <c r="AG510" t="s">
        <v>6226</v>
      </c>
      <c r="AH510" t="s">
        <v>319</v>
      </c>
      <c r="AI510" t="s">
        <v>73</v>
      </c>
      <c r="AJ510" t="s">
        <v>70</v>
      </c>
      <c r="AK510" t="s">
        <v>1250</v>
      </c>
      <c r="AL510" t="s">
        <v>6227</v>
      </c>
      <c r="AM510" t="s">
        <v>76</v>
      </c>
      <c r="AN510" t="s">
        <v>54</v>
      </c>
      <c r="AO510" t="s">
        <v>6228</v>
      </c>
      <c r="AP510" t="s">
        <v>6229</v>
      </c>
      <c r="AQ510" t="s">
        <v>80</v>
      </c>
      <c r="AR510" t="s">
        <v>77</v>
      </c>
      <c r="AS510" t="s">
        <v>6222</v>
      </c>
      <c r="AT510" t="s">
        <v>6223</v>
      </c>
      <c r="AU510" t="s">
        <v>83</v>
      </c>
      <c r="AV510" t="s">
        <v>6230</v>
      </c>
      <c r="AW510" t="str">
        <f>"3413650"</f>
        <v>3413650</v>
      </c>
    </row>
    <row r="511" spans="1:49">
      <c r="A511" t="str">
        <f t="shared" si="21"/>
        <v>27</v>
      </c>
      <c r="B511" t="s">
        <v>5842</v>
      </c>
      <c r="C511" t="str">
        <f>"4440"</f>
        <v>4440</v>
      </c>
      <c r="D511" t="s">
        <v>6231</v>
      </c>
      <c r="F511" t="s">
        <v>77</v>
      </c>
      <c r="G511" t="s">
        <v>6232</v>
      </c>
      <c r="H511" t="s">
        <v>3581</v>
      </c>
      <c r="I511" t="s">
        <v>1518</v>
      </c>
      <c r="J511" s="2" t="s">
        <v>6233</v>
      </c>
      <c r="K511" t="s">
        <v>6234</v>
      </c>
      <c r="L511" t="s">
        <v>60</v>
      </c>
      <c r="M511" t="s">
        <v>6235</v>
      </c>
      <c r="N511" t="s">
        <v>62</v>
      </c>
      <c r="O511" t="str">
        <f>"07457"</f>
        <v>07457</v>
      </c>
      <c r="P511" t="s">
        <v>6234</v>
      </c>
      <c r="S511" t="s">
        <v>6235</v>
      </c>
      <c r="T511" t="s">
        <v>62</v>
      </c>
      <c r="U511" t="str">
        <f>"07457"</f>
        <v>07457</v>
      </c>
      <c r="W511" t="s">
        <v>6236</v>
      </c>
      <c r="X511" t="s">
        <v>77</v>
      </c>
      <c r="Y511" t="s">
        <v>6232</v>
      </c>
      <c r="Z511" t="s">
        <v>3581</v>
      </c>
      <c r="AA511" t="s">
        <v>135</v>
      </c>
      <c r="AB511" t="s">
        <v>54</v>
      </c>
      <c r="AC511" t="s">
        <v>1124</v>
      </c>
      <c r="AD511" t="s">
        <v>6237</v>
      </c>
      <c r="AE511" t="s">
        <v>913</v>
      </c>
      <c r="AF511" t="s">
        <v>77</v>
      </c>
      <c r="AG511" t="s">
        <v>555</v>
      </c>
      <c r="AH511" t="s">
        <v>6238</v>
      </c>
      <c r="AI511" t="s">
        <v>73</v>
      </c>
      <c r="AJ511" t="s">
        <v>77</v>
      </c>
      <c r="AK511" t="s">
        <v>555</v>
      </c>
      <c r="AL511" t="s">
        <v>6238</v>
      </c>
      <c r="AM511" t="s">
        <v>76</v>
      </c>
      <c r="AN511" t="s">
        <v>77</v>
      </c>
      <c r="AO511" t="s">
        <v>436</v>
      </c>
      <c r="AP511" t="s">
        <v>6239</v>
      </c>
      <c r="AQ511" t="s">
        <v>80</v>
      </c>
      <c r="AR511" t="s">
        <v>77</v>
      </c>
      <c r="AS511" t="s">
        <v>555</v>
      </c>
      <c r="AT511" t="s">
        <v>6238</v>
      </c>
      <c r="AU511" t="s">
        <v>83</v>
      </c>
      <c r="AV511" t="s">
        <v>6240</v>
      </c>
      <c r="AW511" t="str">
        <f>"3413980"</f>
        <v>3413980</v>
      </c>
    </row>
    <row r="512" spans="1:49">
      <c r="A512" t="str">
        <f t="shared" si="21"/>
        <v>27</v>
      </c>
      <c r="B512" t="s">
        <v>5842</v>
      </c>
      <c r="C512" t="str">
        <f>"4480"</f>
        <v>4480</v>
      </c>
      <c r="D512" t="s">
        <v>6241</v>
      </c>
      <c r="F512" t="s">
        <v>54</v>
      </c>
      <c r="G512" t="s">
        <v>6242</v>
      </c>
      <c r="H512" t="s">
        <v>6243</v>
      </c>
      <c r="I512" t="s">
        <v>89</v>
      </c>
      <c r="J512" s="2" t="s">
        <v>6244</v>
      </c>
      <c r="K512" t="s">
        <v>6245</v>
      </c>
      <c r="L512" t="s">
        <v>60</v>
      </c>
      <c r="M512" t="s">
        <v>6105</v>
      </c>
      <c r="N512" t="s">
        <v>62</v>
      </c>
      <c r="O512" t="str">
        <f>"07866"</f>
        <v>07866</v>
      </c>
      <c r="P512" t="s">
        <v>6245</v>
      </c>
      <c r="S512" t="s">
        <v>6105</v>
      </c>
      <c r="T512" t="s">
        <v>62</v>
      </c>
      <c r="U512" t="str">
        <f>"07866"</f>
        <v>07866</v>
      </c>
      <c r="W512" t="s">
        <v>6246</v>
      </c>
      <c r="X512" t="s">
        <v>77</v>
      </c>
      <c r="Y512" t="s">
        <v>273</v>
      </c>
      <c r="Z512" t="s">
        <v>6247</v>
      </c>
      <c r="AA512" t="s">
        <v>135</v>
      </c>
      <c r="AB512" t="s">
        <v>54</v>
      </c>
      <c r="AC512" t="s">
        <v>1117</v>
      </c>
      <c r="AD512" t="s">
        <v>6072</v>
      </c>
      <c r="AE512" t="s">
        <v>4096</v>
      </c>
      <c r="AF512" t="s">
        <v>70</v>
      </c>
      <c r="AG512" t="s">
        <v>6248</v>
      </c>
      <c r="AH512" t="s">
        <v>6249</v>
      </c>
      <c r="AI512" t="s">
        <v>73</v>
      </c>
      <c r="AJ512" t="s">
        <v>54</v>
      </c>
      <c r="AK512" t="s">
        <v>1083</v>
      </c>
      <c r="AL512" t="s">
        <v>6250</v>
      </c>
      <c r="AM512" t="s">
        <v>76</v>
      </c>
      <c r="AN512" t="s">
        <v>77</v>
      </c>
      <c r="AO512" t="s">
        <v>1953</v>
      </c>
      <c r="AP512" t="s">
        <v>6251</v>
      </c>
      <c r="AQ512" t="s">
        <v>80</v>
      </c>
      <c r="AR512" t="s">
        <v>77</v>
      </c>
      <c r="AS512" t="s">
        <v>190</v>
      </c>
      <c r="AT512" t="s">
        <v>6252</v>
      </c>
      <c r="AU512" t="s">
        <v>83</v>
      </c>
      <c r="AV512" t="s">
        <v>6253</v>
      </c>
      <c r="AW512" t="str">
        <f>"3414100"</f>
        <v>3414100</v>
      </c>
    </row>
    <row r="513" spans="1:49">
      <c r="A513" t="str">
        <f t="shared" si="21"/>
        <v>27</v>
      </c>
      <c r="B513" t="s">
        <v>5842</v>
      </c>
      <c r="C513" t="str">
        <f>"4490"</f>
        <v>4490</v>
      </c>
      <c r="D513" t="s">
        <v>6254</v>
      </c>
      <c r="F513" t="s">
        <v>65</v>
      </c>
      <c r="G513" t="s">
        <v>994</v>
      </c>
      <c r="H513" t="s">
        <v>6255</v>
      </c>
      <c r="I513" t="s">
        <v>89</v>
      </c>
      <c r="J513" s="2" t="s">
        <v>6256</v>
      </c>
      <c r="K513" t="s">
        <v>6257</v>
      </c>
      <c r="L513" t="s">
        <v>6258</v>
      </c>
      <c r="M513" t="s">
        <v>6259</v>
      </c>
      <c r="N513" t="s">
        <v>62</v>
      </c>
      <c r="O513" t="str">
        <f>"07842"</f>
        <v>07842</v>
      </c>
      <c r="P513" t="s">
        <v>6257</v>
      </c>
      <c r="Q513" t="s">
        <v>6260</v>
      </c>
      <c r="S513" t="s">
        <v>6259</v>
      </c>
      <c r="T513" t="s">
        <v>62</v>
      </c>
      <c r="U513" t="str">
        <f>"07842"</f>
        <v>07842</v>
      </c>
      <c r="W513" t="s">
        <v>6261</v>
      </c>
      <c r="X513" t="s">
        <v>54</v>
      </c>
      <c r="Y513" t="s">
        <v>2015</v>
      </c>
      <c r="Z513" t="s">
        <v>6262</v>
      </c>
      <c r="AA513" t="s">
        <v>135</v>
      </c>
      <c r="AB513" t="s">
        <v>54</v>
      </c>
      <c r="AC513" t="s">
        <v>716</v>
      </c>
      <c r="AD513" t="s">
        <v>2530</v>
      </c>
      <c r="AE513" t="s">
        <v>415</v>
      </c>
      <c r="AF513" t="s">
        <v>77</v>
      </c>
      <c r="AG513" t="s">
        <v>78</v>
      </c>
      <c r="AH513" t="s">
        <v>5246</v>
      </c>
      <c r="AI513" t="s">
        <v>73</v>
      </c>
      <c r="AJ513" t="s">
        <v>65</v>
      </c>
      <c r="AK513" t="s">
        <v>994</v>
      </c>
      <c r="AL513" t="s">
        <v>6255</v>
      </c>
      <c r="AM513" t="s">
        <v>76</v>
      </c>
      <c r="AN513" t="s">
        <v>77</v>
      </c>
      <c r="AO513" t="s">
        <v>6263</v>
      </c>
      <c r="AP513" t="s">
        <v>6264</v>
      </c>
      <c r="AQ513" t="s">
        <v>80</v>
      </c>
      <c r="AR513" t="s">
        <v>77</v>
      </c>
      <c r="AS513" t="s">
        <v>120</v>
      </c>
      <c r="AT513" t="s">
        <v>2624</v>
      </c>
      <c r="AU513" t="s">
        <v>83</v>
      </c>
      <c r="AV513" t="s">
        <v>6265</v>
      </c>
      <c r="AW513" t="str">
        <f>"3414130"</f>
        <v>3414130</v>
      </c>
    </row>
    <row r="514" spans="1:49">
      <c r="A514" t="str">
        <f t="shared" si="21"/>
        <v>27</v>
      </c>
      <c r="B514" t="s">
        <v>5842</v>
      </c>
      <c r="C514" t="str">
        <f>"4560"</f>
        <v>4560</v>
      </c>
      <c r="D514" t="s">
        <v>6266</v>
      </c>
      <c r="F514" t="s">
        <v>54</v>
      </c>
      <c r="G514" t="s">
        <v>2683</v>
      </c>
      <c r="H514" t="s">
        <v>6267</v>
      </c>
      <c r="I514" t="s">
        <v>89</v>
      </c>
      <c r="J514" s="2" t="s">
        <v>6268</v>
      </c>
      <c r="K514" t="s">
        <v>6269</v>
      </c>
      <c r="L514" t="s">
        <v>60</v>
      </c>
      <c r="M514" t="s">
        <v>6270</v>
      </c>
      <c r="N514" t="s">
        <v>62</v>
      </c>
      <c r="O514" t="s">
        <v>6271</v>
      </c>
      <c r="P514" t="s">
        <v>6269</v>
      </c>
      <c r="S514" t="s">
        <v>6270</v>
      </c>
      <c r="T514" t="s">
        <v>62</v>
      </c>
      <c r="U514" t="str">
        <f>"07876"</f>
        <v>07876</v>
      </c>
      <c r="V514" t="str">
        <f>"1443"</f>
        <v>1443</v>
      </c>
      <c r="W514" t="s">
        <v>6272</v>
      </c>
      <c r="X514" t="s">
        <v>77</v>
      </c>
      <c r="Y514" t="s">
        <v>358</v>
      </c>
      <c r="Z514" t="s">
        <v>6273</v>
      </c>
      <c r="AA514" t="s">
        <v>135</v>
      </c>
      <c r="AB514" t="s">
        <v>54</v>
      </c>
      <c r="AC514" t="s">
        <v>2012</v>
      </c>
      <c r="AD514" t="s">
        <v>2142</v>
      </c>
      <c r="AE514" t="s">
        <v>98</v>
      </c>
      <c r="AF514" t="s">
        <v>54</v>
      </c>
      <c r="AG514" t="s">
        <v>883</v>
      </c>
      <c r="AH514" t="s">
        <v>3591</v>
      </c>
      <c r="AI514" t="s">
        <v>73</v>
      </c>
      <c r="AJ514" t="s">
        <v>65</v>
      </c>
      <c r="AK514" t="s">
        <v>1012</v>
      </c>
      <c r="AL514" t="s">
        <v>6274</v>
      </c>
      <c r="AM514" t="s">
        <v>76</v>
      </c>
      <c r="AN514" t="s">
        <v>77</v>
      </c>
      <c r="AO514" t="s">
        <v>6275</v>
      </c>
      <c r="AP514" t="s">
        <v>6276</v>
      </c>
      <c r="AQ514" t="s">
        <v>80</v>
      </c>
      <c r="AR514" t="s">
        <v>77</v>
      </c>
      <c r="AS514" t="s">
        <v>182</v>
      </c>
      <c r="AT514" t="s">
        <v>6277</v>
      </c>
      <c r="AU514" t="s">
        <v>83</v>
      </c>
      <c r="AV514" t="s">
        <v>6278</v>
      </c>
      <c r="AW514" t="str">
        <f>"3414340"</f>
        <v>3414340</v>
      </c>
    </row>
    <row r="515" spans="1:49">
      <c r="A515" t="str">
        <f t="shared" si="21"/>
        <v>27</v>
      </c>
      <c r="B515" t="s">
        <v>5842</v>
      </c>
      <c r="C515" t="str">
        <f>"0785"</f>
        <v>0785</v>
      </c>
      <c r="D515" t="s">
        <v>6279</v>
      </c>
      <c r="F515" t="s">
        <v>65</v>
      </c>
      <c r="G515" t="s">
        <v>120</v>
      </c>
      <c r="H515" t="s">
        <v>6280</v>
      </c>
      <c r="I515" t="s">
        <v>89</v>
      </c>
      <c r="J515" s="2" t="s">
        <v>6281</v>
      </c>
      <c r="K515" t="s">
        <v>6282</v>
      </c>
      <c r="L515" t="s">
        <v>60</v>
      </c>
      <c r="M515" t="s">
        <v>6283</v>
      </c>
      <c r="N515" t="s">
        <v>62</v>
      </c>
      <c r="O515" t="str">
        <f>"07928"</f>
        <v>07928</v>
      </c>
      <c r="P515" t="s">
        <v>6282</v>
      </c>
      <c r="S515" t="s">
        <v>6283</v>
      </c>
      <c r="T515" t="s">
        <v>62</v>
      </c>
      <c r="U515" t="str">
        <f>"07928"</f>
        <v>07928</v>
      </c>
      <c r="W515" t="s">
        <v>6284</v>
      </c>
      <c r="X515" t="s">
        <v>77</v>
      </c>
      <c r="Y515" t="s">
        <v>994</v>
      </c>
      <c r="Z515" t="s">
        <v>6285</v>
      </c>
      <c r="AA515" t="s">
        <v>68</v>
      </c>
      <c r="AB515" t="s">
        <v>65</v>
      </c>
      <c r="AC515" t="s">
        <v>687</v>
      </c>
      <c r="AD515" t="s">
        <v>6286</v>
      </c>
      <c r="AE515" t="s">
        <v>587</v>
      </c>
      <c r="AF515" t="s">
        <v>65</v>
      </c>
      <c r="AG515" t="s">
        <v>687</v>
      </c>
      <c r="AH515" t="s">
        <v>6286</v>
      </c>
      <c r="AI515" t="s">
        <v>73</v>
      </c>
      <c r="AJ515" t="s">
        <v>70</v>
      </c>
      <c r="AK515" t="s">
        <v>429</v>
      </c>
      <c r="AL515" t="s">
        <v>6287</v>
      </c>
      <c r="AM515" t="s">
        <v>154</v>
      </c>
      <c r="AN515" t="s">
        <v>77</v>
      </c>
      <c r="AO515" t="s">
        <v>328</v>
      </c>
      <c r="AP515" t="s">
        <v>6288</v>
      </c>
      <c r="AQ515" t="s">
        <v>80</v>
      </c>
      <c r="AR515" t="s">
        <v>65</v>
      </c>
      <c r="AS515" t="s">
        <v>120</v>
      </c>
      <c r="AT515" t="s">
        <v>6280</v>
      </c>
      <c r="AU515" t="s">
        <v>83</v>
      </c>
      <c r="AV515" t="s">
        <v>6289</v>
      </c>
      <c r="AW515" t="str">
        <f>"3400004"</f>
        <v>3400004</v>
      </c>
    </row>
    <row r="516" spans="1:49">
      <c r="A516" t="str">
        <f>"80"</f>
        <v>80</v>
      </c>
      <c r="B516" t="s">
        <v>5842</v>
      </c>
      <c r="C516" t="str">
        <f>"8050"</f>
        <v>8050</v>
      </c>
      <c r="D516" t="s">
        <v>6290</v>
      </c>
      <c r="E516" t="str">
        <f>"990"</f>
        <v>990</v>
      </c>
      <c r="F516" t="s">
        <v>70</v>
      </c>
      <c r="G516" t="s">
        <v>6291</v>
      </c>
      <c r="H516" t="s">
        <v>854</v>
      </c>
      <c r="I516" t="s">
        <v>128</v>
      </c>
      <c r="J516" s="2" t="s">
        <v>6292</v>
      </c>
      <c r="K516" t="s">
        <v>6293</v>
      </c>
      <c r="L516" t="s">
        <v>6294</v>
      </c>
      <c r="M516" t="s">
        <v>6295</v>
      </c>
      <c r="N516" t="s">
        <v>62</v>
      </c>
      <c r="O516" t="str">
        <f>"07960"</f>
        <v>07960</v>
      </c>
      <c r="P516" t="s">
        <v>6293</v>
      </c>
      <c r="Q516" t="s">
        <v>6296</v>
      </c>
      <c r="S516" t="s">
        <v>6295</v>
      </c>
      <c r="T516" t="s">
        <v>62</v>
      </c>
      <c r="U516" t="str">
        <f>"07960"</f>
        <v>07960</v>
      </c>
      <c r="W516" t="s">
        <v>6297</v>
      </c>
      <c r="X516" t="s">
        <v>70</v>
      </c>
      <c r="Y516" t="s">
        <v>3449</v>
      </c>
      <c r="Z516" t="s">
        <v>6298</v>
      </c>
      <c r="AA516" t="s">
        <v>68</v>
      </c>
      <c r="AB516" t="s">
        <v>70</v>
      </c>
      <c r="AC516" t="s">
        <v>716</v>
      </c>
      <c r="AD516" t="s">
        <v>6299</v>
      </c>
      <c r="AE516" t="s">
        <v>98</v>
      </c>
      <c r="AF516" t="s">
        <v>77</v>
      </c>
      <c r="AG516" t="s">
        <v>120</v>
      </c>
      <c r="AH516" t="s">
        <v>6300</v>
      </c>
      <c r="AI516" t="s">
        <v>73</v>
      </c>
      <c r="AJ516" t="s">
        <v>70</v>
      </c>
      <c r="AK516" t="s">
        <v>6301</v>
      </c>
      <c r="AL516" t="s">
        <v>6302</v>
      </c>
      <c r="AM516" t="s">
        <v>76</v>
      </c>
      <c r="AN516" t="s">
        <v>70</v>
      </c>
      <c r="AO516" t="s">
        <v>2012</v>
      </c>
      <c r="AP516" t="s">
        <v>2435</v>
      </c>
      <c r="AQ516" t="s">
        <v>80</v>
      </c>
      <c r="AR516" t="s">
        <v>77</v>
      </c>
      <c r="AS516" t="s">
        <v>120</v>
      </c>
      <c r="AT516" t="s">
        <v>6300</v>
      </c>
      <c r="AU516" t="s">
        <v>83</v>
      </c>
      <c r="AV516" t="s">
        <v>6303</v>
      </c>
      <c r="AW516" t="str">
        <f>"3400051"</f>
        <v>3400051</v>
      </c>
    </row>
    <row r="517" spans="1:49">
      <c r="A517" t="str">
        <f>"27"</f>
        <v>27</v>
      </c>
      <c r="B517" t="s">
        <v>5842</v>
      </c>
      <c r="C517" t="str">
        <f>"5520"</f>
        <v>5520</v>
      </c>
      <c r="D517" t="s">
        <v>2145</v>
      </c>
      <c r="F517" t="s">
        <v>77</v>
      </c>
      <c r="G517" t="s">
        <v>3970</v>
      </c>
      <c r="H517" t="s">
        <v>6304</v>
      </c>
      <c r="I517" t="s">
        <v>89</v>
      </c>
      <c r="J517" s="2" t="s">
        <v>6305</v>
      </c>
      <c r="K517" t="s">
        <v>6306</v>
      </c>
      <c r="L517" t="s">
        <v>60</v>
      </c>
      <c r="M517" t="s">
        <v>6307</v>
      </c>
      <c r="N517" t="s">
        <v>62</v>
      </c>
      <c r="O517" t="str">
        <f>"07853"</f>
        <v>07853</v>
      </c>
      <c r="P517" t="s">
        <v>6306</v>
      </c>
      <c r="S517" t="s">
        <v>6307</v>
      </c>
      <c r="T517" t="s">
        <v>62</v>
      </c>
      <c r="U517" t="str">
        <f>"07853"</f>
        <v>07853</v>
      </c>
      <c r="W517" t="s">
        <v>6308</v>
      </c>
      <c r="X517" t="s">
        <v>70</v>
      </c>
      <c r="Y517" t="s">
        <v>1446</v>
      </c>
      <c r="Z517" t="s">
        <v>1690</v>
      </c>
      <c r="AA517" t="s">
        <v>135</v>
      </c>
      <c r="AB517" t="s">
        <v>54</v>
      </c>
      <c r="AC517" t="s">
        <v>809</v>
      </c>
      <c r="AD517" t="s">
        <v>6309</v>
      </c>
      <c r="AE517" t="s">
        <v>69</v>
      </c>
      <c r="AF517" t="s">
        <v>77</v>
      </c>
      <c r="AG517" t="s">
        <v>328</v>
      </c>
      <c r="AH517" t="s">
        <v>6310</v>
      </c>
      <c r="AI517" t="s">
        <v>73</v>
      </c>
      <c r="AJ517" t="s">
        <v>54</v>
      </c>
      <c r="AK517" t="s">
        <v>1209</v>
      </c>
      <c r="AL517" t="s">
        <v>679</v>
      </c>
      <c r="AM517" t="s">
        <v>76</v>
      </c>
      <c r="AN517" t="s">
        <v>77</v>
      </c>
      <c r="AO517" t="s">
        <v>3153</v>
      </c>
      <c r="AP517" t="s">
        <v>6311</v>
      </c>
      <c r="AQ517" t="s">
        <v>80</v>
      </c>
      <c r="AR517" t="s">
        <v>77</v>
      </c>
      <c r="AS517" t="s">
        <v>3970</v>
      </c>
      <c r="AT517" t="s">
        <v>6304</v>
      </c>
      <c r="AU517" t="s">
        <v>83</v>
      </c>
      <c r="AV517" t="s">
        <v>6312</v>
      </c>
      <c r="AW517" t="str">
        <f>"3417130"</f>
        <v>3417130</v>
      </c>
    </row>
    <row r="518" spans="1:49">
      <c r="A518" t="str">
        <f>"27"</f>
        <v>27</v>
      </c>
      <c r="B518" t="s">
        <v>5842</v>
      </c>
      <c r="C518" t="str">
        <f>"5660"</f>
        <v>5660</v>
      </c>
      <c r="D518" t="s">
        <v>6313</v>
      </c>
      <c r="F518" t="s">
        <v>77</v>
      </c>
      <c r="G518" t="s">
        <v>120</v>
      </c>
      <c r="H518" t="s">
        <v>6314</v>
      </c>
      <c r="I518" t="s">
        <v>89</v>
      </c>
      <c r="J518" s="2" t="s">
        <v>6315</v>
      </c>
      <c r="K518" t="s">
        <v>6316</v>
      </c>
      <c r="L518" t="s">
        <v>60</v>
      </c>
      <c r="M518" t="s">
        <v>6317</v>
      </c>
      <c r="N518" t="s">
        <v>62</v>
      </c>
      <c r="O518" t="str">
        <f>"07930"</f>
        <v>07930</v>
      </c>
      <c r="P518" t="s">
        <v>6316</v>
      </c>
      <c r="S518" t="s">
        <v>6317</v>
      </c>
      <c r="T518" t="s">
        <v>62</v>
      </c>
      <c r="U518" t="str">
        <f>"07930"</f>
        <v>07930</v>
      </c>
      <c r="W518" t="s">
        <v>6318</v>
      </c>
      <c r="X518" t="s">
        <v>77</v>
      </c>
      <c r="Y518" t="s">
        <v>6319</v>
      </c>
      <c r="Z518" t="s">
        <v>6320</v>
      </c>
      <c r="AA518" t="s">
        <v>112</v>
      </c>
      <c r="AB518" t="s">
        <v>77</v>
      </c>
      <c r="AC518" t="s">
        <v>120</v>
      </c>
      <c r="AD518" t="s">
        <v>6321</v>
      </c>
      <c r="AE518" t="s">
        <v>98</v>
      </c>
      <c r="AF518" t="s">
        <v>77</v>
      </c>
      <c r="AG518" t="s">
        <v>120</v>
      </c>
      <c r="AH518" t="s">
        <v>6321</v>
      </c>
      <c r="AI518" t="s">
        <v>73</v>
      </c>
      <c r="AJ518" t="s">
        <v>77</v>
      </c>
      <c r="AK518" t="s">
        <v>1030</v>
      </c>
      <c r="AL518" t="s">
        <v>6322</v>
      </c>
      <c r="AM518" t="s">
        <v>154</v>
      </c>
      <c r="AN518" t="s">
        <v>77</v>
      </c>
      <c r="AO518" t="s">
        <v>570</v>
      </c>
      <c r="AP518" t="s">
        <v>6323</v>
      </c>
      <c r="AQ518" t="s">
        <v>80</v>
      </c>
      <c r="AR518" t="s">
        <v>77</v>
      </c>
      <c r="AS518" t="s">
        <v>6319</v>
      </c>
      <c r="AT518" t="s">
        <v>6320</v>
      </c>
      <c r="AU518" t="s">
        <v>83</v>
      </c>
      <c r="AV518" t="s">
        <v>6324</v>
      </c>
      <c r="AW518" t="str">
        <f>"3417550"</f>
        <v>3417550</v>
      </c>
    </row>
    <row r="519" spans="1:49">
      <c r="A519" t="str">
        <f>"27"</f>
        <v>27</v>
      </c>
      <c r="B519" t="s">
        <v>5842</v>
      </c>
      <c r="C519" t="str">
        <f>"5770"</f>
        <v>5770</v>
      </c>
      <c r="D519" t="s">
        <v>6325</v>
      </c>
      <c r="F519" t="s">
        <v>77</v>
      </c>
      <c r="G519" t="s">
        <v>5214</v>
      </c>
      <c r="H519" t="s">
        <v>6326</v>
      </c>
      <c r="I519" t="s">
        <v>89</v>
      </c>
      <c r="J519" s="2" t="s">
        <v>6327</v>
      </c>
      <c r="K519" t="s">
        <v>6328</v>
      </c>
      <c r="L519" t="s">
        <v>60</v>
      </c>
      <c r="M519" t="s">
        <v>6329</v>
      </c>
      <c r="N519" t="s">
        <v>62</v>
      </c>
      <c r="O519" t="str">
        <f>"07885"</f>
        <v>07885</v>
      </c>
      <c r="P519" t="s">
        <v>6328</v>
      </c>
      <c r="S519" t="s">
        <v>6329</v>
      </c>
      <c r="T519" t="s">
        <v>62</v>
      </c>
      <c r="U519" t="str">
        <f>"07885"</f>
        <v>07885</v>
      </c>
      <c r="W519" t="s">
        <v>6330</v>
      </c>
      <c r="X519" t="s">
        <v>54</v>
      </c>
      <c r="Y519" t="s">
        <v>6331</v>
      </c>
      <c r="Z519" t="s">
        <v>6332</v>
      </c>
      <c r="AA519" t="s">
        <v>112</v>
      </c>
      <c r="AB519" t="s">
        <v>54</v>
      </c>
      <c r="AC519" t="s">
        <v>6333</v>
      </c>
      <c r="AD519" t="s">
        <v>6334</v>
      </c>
      <c r="AE519" t="s">
        <v>433</v>
      </c>
      <c r="AF519" t="s">
        <v>65</v>
      </c>
      <c r="AG519" t="s">
        <v>6335</v>
      </c>
      <c r="AH519" t="s">
        <v>6336</v>
      </c>
      <c r="AI519" t="s">
        <v>73</v>
      </c>
      <c r="AJ519" t="s">
        <v>70</v>
      </c>
      <c r="AK519" t="s">
        <v>6337</v>
      </c>
      <c r="AL519" t="s">
        <v>6338</v>
      </c>
      <c r="AM519" t="s">
        <v>76</v>
      </c>
      <c r="AN519" t="s">
        <v>77</v>
      </c>
      <c r="AO519" t="s">
        <v>328</v>
      </c>
      <c r="AP519" t="s">
        <v>6339</v>
      </c>
      <c r="AQ519" t="s">
        <v>80</v>
      </c>
      <c r="AR519" t="s">
        <v>54</v>
      </c>
      <c r="AS519" t="s">
        <v>6331</v>
      </c>
      <c r="AT519" t="s">
        <v>6332</v>
      </c>
      <c r="AU519" t="s">
        <v>83</v>
      </c>
      <c r="AV519" t="s">
        <v>6340</v>
      </c>
      <c r="AW519" t="str">
        <f>"3417880"</f>
        <v>3417880</v>
      </c>
    </row>
    <row r="520" spans="1:49">
      <c r="A520" t="str">
        <f t="shared" ref="A520:A535" si="22">"29"</f>
        <v>29</v>
      </c>
      <c r="B520" t="s">
        <v>6341</v>
      </c>
      <c r="C520" t="str">
        <f>"0185"</f>
        <v>0185</v>
      </c>
      <c r="D520" t="s">
        <v>6342</v>
      </c>
      <c r="F520" t="s">
        <v>65</v>
      </c>
      <c r="G520" t="s">
        <v>212</v>
      </c>
      <c r="H520" t="s">
        <v>6343</v>
      </c>
      <c r="I520" t="s">
        <v>89</v>
      </c>
      <c r="J520" s="2" t="s">
        <v>6344</v>
      </c>
      <c r="K520" t="s">
        <v>6345</v>
      </c>
      <c r="L520" t="s">
        <v>60</v>
      </c>
      <c r="M520" t="s">
        <v>6346</v>
      </c>
      <c r="N520" t="s">
        <v>62</v>
      </c>
      <c r="O520" t="str">
        <f>"08005"</f>
        <v>08005</v>
      </c>
      <c r="P520" t="s">
        <v>6345</v>
      </c>
      <c r="S520" t="s">
        <v>6346</v>
      </c>
      <c r="T520" t="s">
        <v>62</v>
      </c>
      <c r="U520" t="str">
        <f>"08005"</f>
        <v>08005</v>
      </c>
      <c r="W520" t="s">
        <v>6347</v>
      </c>
      <c r="Y520" t="s">
        <v>78</v>
      </c>
      <c r="Z520" t="s">
        <v>4944</v>
      </c>
      <c r="AA520" t="s">
        <v>68</v>
      </c>
      <c r="AC520" t="s">
        <v>87</v>
      </c>
      <c r="AD520" t="s">
        <v>1316</v>
      </c>
      <c r="AE520" t="s">
        <v>587</v>
      </c>
      <c r="AG520" t="s">
        <v>3343</v>
      </c>
      <c r="AH520" t="s">
        <v>6348</v>
      </c>
      <c r="AI520" t="s">
        <v>73</v>
      </c>
      <c r="AK520" t="s">
        <v>3343</v>
      </c>
      <c r="AL520" t="s">
        <v>6348</v>
      </c>
      <c r="AM520" t="s">
        <v>76</v>
      </c>
      <c r="AO520" t="s">
        <v>78</v>
      </c>
      <c r="AP520" t="s">
        <v>6349</v>
      </c>
      <c r="AQ520" t="s">
        <v>80</v>
      </c>
      <c r="AS520" t="s">
        <v>78</v>
      </c>
      <c r="AT520" t="s">
        <v>6349</v>
      </c>
      <c r="AU520" t="s">
        <v>83</v>
      </c>
      <c r="AV520" t="s">
        <v>6350</v>
      </c>
      <c r="AW520" t="str">
        <f>"3416470"</f>
        <v>3416470</v>
      </c>
    </row>
    <row r="521" spans="1:49">
      <c r="A521" t="str">
        <f t="shared" si="22"/>
        <v>29</v>
      </c>
      <c r="B521" t="s">
        <v>6341</v>
      </c>
      <c r="C521" t="str">
        <f>"0210"</f>
        <v>0210</v>
      </c>
      <c r="D521" t="s">
        <v>6351</v>
      </c>
      <c r="F521" t="s">
        <v>65</v>
      </c>
      <c r="G521" t="s">
        <v>994</v>
      </c>
      <c r="H521" t="s">
        <v>419</v>
      </c>
      <c r="I521" t="s">
        <v>89</v>
      </c>
      <c r="J521" s="2" t="s">
        <v>6352</v>
      </c>
      <c r="K521" t="s">
        <v>6353</v>
      </c>
      <c r="L521" t="s">
        <v>60</v>
      </c>
      <c r="M521" t="s">
        <v>6354</v>
      </c>
      <c r="N521" t="s">
        <v>62</v>
      </c>
      <c r="O521" t="s">
        <v>6355</v>
      </c>
      <c r="P521" t="s">
        <v>6353</v>
      </c>
      <c r="S521" t="s">
        <v>6354</v>
      </c>
      <c r="T521" t="s">
        <v>62</v>
      </c>
      <c r="U521" t="str">
        <f>"08742"</f>
        <v>08742</v>
      </c>
      <c r="V521" t="str">
        <f>"5027"</f>
        <v>5027</v>
      </c>
      <c r="W521" t="s">
        <v>6356</v>
      </c>
      <c r="X521" t="s">
        <v>54</v>
      </c>
      <c r="Y521" t="s">
        <v>233</v>
      </c>
      <c r="Z521" t="s">
        <v>287</v>
      </c>
      <c r="AA521" t="s">
        <v>68</v>
      </c>
      <c r="AB521" t="s">
        <v>54</v>
      </c>
      <c r="AC521" t="s">
        <v>233</v>
      </c>
      <c r="AD521" t="s">
        <v>6357</v>
      </c>
      <c r="AE521" t="s">
        <v>181</v>
      </c>
      <c r="AF521" t="s">
        <v>54</v>
      </c>
      <c r="AG521" t="s">
        <v>6358</v>
      </c>
      <c r="AH521" t="s">
        <v>6359</v>
      </c>
      <c r="AI521" t="s">
        <v>73</v>
      </c>
      <c r="AJ521" t="s">
        <v>54</v>
      </c>
      <c r="AK521" t="s">
        <v>6360</v>
      </c>
      <c r="AL521" t="s">
        <v>6361</v>
      </c>
      <c r="AM521" t="s">
        <v>76</v>
      </c>
      <c r="AN521" t="s">
        <v>77</v>
      </c>
      <c r="AO521" t="s">
        <v>367</v>
      </c>
      <c r="AP521" t="s">
        <v>6362</v>
      </c>
      <c r="AQ521" t="s">
        <v>80</v>
      </c>
      <c r="AR521" t="s">
        <v>77</v>
      </c>
      <c r="AS521" t="s">
        <v>373</v>
      </c>
      <c r="AT521" t="s">
        <v>6363</v>
      </c>
      <c r="AU521" t="s">
        <v>83</v>
      </c>
      <c r="AV521" t="s">
        <v>6364</v>
      </c>
      <c r="AW521" t="str">
        <f>"3401230"</f>
        <v>3401230</v>
      </c>
    </row>
    <row r="522" spans="1:49">
      <c r="A522" t="str">
        <f t="shared" si="22"/>
        <v>29</v>
      </c>
      <c r="B522" t="s">
        <v>6341</v>
      </c>
      <c r="C522" t="str">
        <f>"0230"</f>
        <v>0230</v>
      </c>
      <c r="D522" t="s">
        <v>6365</v>
      </c>
      <c r="F522" t="s">
        <v>65</v>
      </c>
      <c r="G522" t="s">
        <v>287</v>
      </c>
      <c r="H522" t="s">
        <v>6366</v>
      </c>
      <c r="I522" t="s">
        <v>89</v>
      </c>
      <c r="J522" s="3" t="s">
        <v>8186</v>
      </c>
      <c r="K522" t="s">
        <v>6367</v>
      </c>
      <c r="L522" t="s">
        <v>6368</v>
      </c>
      <c r="M522" t="s">
        <v>6369</v>
      </c>
      <c r="N522" t="s">
        <v>62</v>
      </c>
      <c r="O522" t="str">
        <f>"08008"</f>
        <v>08008</v>
      </c>
      <c r="P522" t="s">
        <v>6367</v>
      </c>
      <c r="Q522" t="s">
        <v>6367</v>
      </c>
      <c r="S522" t="s">
        <v>6369</v>
      </c>
      <c r="T522" t="s">
        <v>62</v>
      </c>
      <c r="U522" t="str">
        <f>"08008"</f>
        <v>08008</v>
      </c>
      <c r="W522" t="s">
        <v>6370</v>
      </c>
      <c r="X522" t="s">
        <v>77</v>
      </c>
      <c r="Y522" t="s">
        <v>534</v>
      </c>
      <c r="Z522" t="s">
        <v>6371</v>
      </c>
      <c r="AA522" t="s">
        <v>112</v>
      </c>
      <c r="AB522" t="s">
        <v>65</v>
      </c>
      <c r="AC522" t="s">
        <v>287</v>
      </c>
      <c r="AD522" t="s">
        <v>6366</v>
      </c>
      <c r="AE522" t="s">
        <v>98</v>
      </c>
      <c r="AF522" t="s">
        <v>65</v>
      </c>
      <c r="AG522" t="s">
        <v>287</v>
      </c>
      <c r="AH522" t="s">
        <v>6366</v>
      </c>
      <c r="AI522" t="s">
        <v>73</v>
      </c>
      <c r="AJ522" t="s">
        <v>65</v>
      </c>
      <c r="AK522" t="s">
        <v>287</v>
      </c>
      <c r="AL522" t="s">
        <v>6366</v>
      </c>
      <c r="AM522" t="s">
        <v>76</v>
      </c>
      <c r="AN522" t="s">
        <v>65</v>
      </c>
      <c r="AO522" t="s">
        <v>287</v>
      </c>
      <c r="AP522" t="s">
        <v>6366</v>
      </c>
      <c r="AQ522" t="s">
        <v>80</v>
      </c>
      <c r="AR522" t="s">
        <v>65</v>
      </c>
      <c r="AS522" t="s">
        <v>287</v>
      </c>
      <c r="AT522" t="s">
        <v>6366</v>
      </c>
      <c r="AU522" t="s">
        <v>83</v>
      </c>
      <c r="AV522" t="s">
        <v>6372</v>
      </c>
      <c r="AW522" t="str">
        <f>"3401290"</f>
        <v>3401290</v>
      </c>
    </row>
    <row r="523" spans="1:49">
      <c r="A523" t="str">
        <f t="shared" si="22"/>
        <v>29</v>
      </c>
      <c r="B523" t="s">
        <v>6341</v>
      </c>
      <c r="C523" t="str">
        <f>"0320"</f>
        <v>0320</v>
      </c>
      <c r="D523" t="s">
        <v>6373</v>
      </c>
      <c r="F523" t="s">
        <v>65</v>
      </c>
      <c r="G523" t="s">
        <v>182</v>
      </c>
      <c r="H523" t="s">
        <v>6374</v>
      </c>
      <c r="I523" t="s">
        <v>89</v>
      </c>
      <c r="J523" s="2" t="s">
        <v>6375</v>
      </c>
      <c r="K523" t="s">
        <v>6376</v>
      </c>
      <c r="L523" t="s">
        <v>60</v>
      </c>
      <c r="M523" t="s">
        <v>6377</v>
      </c>
      <c r="N523" t="s">
        <v>62</v>
      </c>
      <c r="O523" t="str">
        <f>"08721"</f>
        <v>08721</v>
      </c>
      <c r="P523" t="s">
        <v>6376</v>
      </c>
      <c r="S523" t="s">
        <v>6377</v>
      </c>
      <c r="T523" t="s">
        <v>62</v>
      </c>
      <c r="U523" t="str">
        <f>"08721"</f>
        <v>08721</v>
      </c>
      <c r="W523" t="s">
        <v>6378</v>
      </c>
      <c r="Y523" t="s">
        <v>932</v>
      </c>
      <c r="Z523" t="s">
        <v>6379</v>
      </c>
      <c r="AA523" t="s">
        <v>135</v>
      </c>
      <c r="AC523" t="s">
        <v>2074</v>
      </c>
      <c r="AD523" t="s">
        <v>6380</v>
      </c>
      <c r="AE523" t="s">
        <v>98</v>
      </c>
      <c r="AF523" t="s">
        <v>65</v>
      </c>
      <c r="AG523" t="s">
        <v>338</v>
      </c>
      <c r="AH523" t="s">
        <v>6381</v>
      </c>
      <c r="AI523" t="s">
        <v>73</v>
      </c>
      <c r="AJ523" t="s">
        <v>65</v>
      </c>
      <c r="AK523" t="s">
        <v>338</v>
      </c>
      <c r="AL523" t="s">
        <v>6381</v>
      </c>
      <c r="AM523" t="s">
        <v>76</v>
      </c>
      <c r="AO523" t="s">
        <v>358</v>
      </c>
      <c r="AP523" t="s">
        <v>6382</v>
      </c>
      <c r="AQ523" t="s">
        <v>80</v>
      </c>
      <c r="AR523" t="s">
        <v>77</v>
      </c>
      <c r="AS523" t="s">
        <v>120</v>
      </c>
      <c r="AT523" t="s">
        <v>6383</v>
      </c>
      <c r="AU523" t="s">
        <v>83</v>
      </c>
      <c r="AV523" t="s">
        <v>6384</v>
      </c>
      <c r="AW523" t="str">
        <f>"3401560"</f>
        <v>3401560</v>
      </c>
    </row>
    <row r="524" spans="1:49">
      <c r="A524" t="str">
        <f t="shared" si="22"/>
        <v>29</v>
      </c>
      <c r="B524" t="s">
        <v>6341</v>
      </c>
      <c r="C524" t="str">
        <f>"0530"</f>
        <v>0530</v>
      </c>
      <c r="D524" t="s">
        <v>6385</v>
      </c>
      <c r="F524" t="s">
        <v>65</v>
      </c>
      <c r="G524" t="s">
        <v>319</v>
      </c>
      <c r="H524" t="s">
        <v>117</v>
      </c>
      <c r="I524" t="s">
        <v>89</v>
      </c>
      <c r="J524" s="2" t="s">
        <v>6386</v>
      </c>
      <c r="K524" t="s">
        <v>6387</v>
      </c>
      <c r="L524" t="s">
        <v>60</v>
      </c>
      <c r="M524" t="s">
        <v>6388</v>
      </c>
      <c r="N524" t="s">
        <v>62</v>
      </c>
      <c r="O524" t="str">
        <f>"08724"</f>
        <v>08724</v>
      </c>
      <c r="P524" t="s">
        <v>6387</v>
      </c>
      <c r="S524" t="s">
        <v>6388</v>
      </c>
      <c r="T524" t="s">
        <v>62</v>
      </c>
      <c r="U524" t="str">
        <f>"08724"</f>
        <v>08724</v>
      </c>
      <c r="W524" t="s">
        <v>6389</v>
      </c>
      <c r="X524" t="s">
        <v>77</v>
      </c>
      <c r="Y524" t="s">
        <v>182</v>
      </c>
      <c r="Z524" t="s">
        <v>134</v>
      </c>
      <c r="AA524" t="s">
        <v>135</v>
      </c>
      <c r="AB524" t="s">
        <v>70</v>
      </c>
      <c r="AC524" t="s">
        <v>5679</v>
      </c>
      <c r="AD524" t="s">
        <v>6390</v>
      </c>
      <c r="AE524" t="s">
        <v>98</v>
      </c>
      <c r="AF524" t="s">
        <v>77</v>
      </c>
      <c r="AG524" t="s">
        <v>4148</v>
      </c>
      <c r="AH524" t="s">
        <v>6391</v>
      </c>
      <c r="AI524" t="s">
        <v>73</v>
      </c>
      <c r="AJ524" t="s">
        <v>70</v>
      </c>
      <c r="AK524" t="s">
        <v>541</v>
      </c>
      <c r="AL524" t="s">
        <v>6392</v>
      </c>
      <c r="AM524" t="s">
        <v>76</v>
      </c>
      <c r="AN524" t="s">
        <v>77</v>
      </c>
      <c r="AO524" t="s">
        <v>182</v>
      </c>
      <c r="AP524" t="s">
        <v>6393</v>
      </c>
      <c r="AQ524" t="s">
        <v>80</v>
      </c>
      <c r="AR524" t="s">
        <v>77</v>
      </c>
      <c r="AS524" t="s">
        <v>539</v>
      </c>
      <c r="AT524" t="s">
        <v>6394</v>
      </c>
      <c r="AU524" t="s">
        <v>83</v>
      </c>
      <c r="AV524" t="s">
        <v>6395</v>
      </c>
      <c r="AW524" t="str">
        <f>"3402220"</f>
        <v>3402220</v>
      </c>
    </row>
    <row r="525" spans="1:49">
      <c r="A525" t="str">
        <f t="shared" si="22"/>
        <v>29</v>
      </c>
      <c r="B525" t="s">
        <v>6341</v>
      </c>
      <c r="C525" t="str">
        <f>"0770"</f>
        <v>0770</v>
      </c>
      <c r="D525" t="s">
        <v>6396</v>
      </c>
      <c r="F525" t="s">
        <v>65</v>
      </c>
      <c r="G525" t="s">
        <v>6397</v>
      </c>
      <c r="H525" t="s">
        <v>6398</v>
      </c>
      <c r="I525" t="s">
        <v>89</v>
      </c>
      <c r="J525" s="2" t="s">
        <v>6399</v>
      </c>
      <c r="K525" t="s">
        <v>6400</v>
      </c>
      <c r="L525" t="s">
        <v>60</v>
      </c>
      <c r="M525" t="s">
        <v>6377</v>
      </c>
      <c r="N525" t="s">
        <v>62</v>
      </c>
      <c r="O525" t="str">
        <f>"08721"</f>
        <v>08721</v>
      </c>
      <c r="P525" t="s">
        <v>6400</v>
      </c>
      <c r="S525" t="s">
        <v>6377</v>
      </c>
      <c r="T525" t="s">
        <v>62</v>
      </c>
      <c r="U525" t="str">
        <f>"08721"</f>
        <v>08721</v>
      </c>
      <c r="W525" t="s">
        <v>6401</v>
      </c>
      <c r="X525" t="s">
        <v>77</v>
      </c>
      <c r="Y525" t="s">
        <v>367</v>
      </c>
      <c r="Z525" t="s">
        <v>6402</v>
      </c>
      <c r="AA525" t="s">
        <v>135</v>
      </c>
      <c r="AB525" t="s">
        <v>70</v>
      </c>
      <c r="AC525" t="s">
        <v>3566</v>
      </c>
      <c r="AD525" t="s">
        <v>6403</v>
      </c>
      <c r="AE525" t="s">
        <v>69</v>
      </c>
      <c r="AF525" t="s">
        <v>65</v>
      </c>
      <c r="AG525" t="s">
        <v>319</v>
      </c>
      <c r="AH525" t="s">
        <v>6404</v>
      </c>
      <c r="AI525" t="s">
        <v>73</v>
      </c>
      <c r="AJ525" t="s">
        <v>65</v>
      </c>
      <c r="AK525" t="s">
        <v>6397</v>
      </c>
      <c r="AL525" t="s">
        <v>6398</v>
      </c>
      <c r="AM525" t="s">
        <v>2393</v>
      </c>
      <c r="AR525" t="s">
        <v>65</v>
      </c>
      <c r="AS525" t="s">
        <v>6397</v>
      </c>
      <c r="AT525" t="s">
        <v>6398</v>
      </c>
      <c r="AU525" t="s">
        <v>83</v>
      </c>
      <c r="AV525" t="s">
        <v>6405</v>
      </c>
      <c r="AW525" t="str">
        <f>"3402910"</f>
        <v>3402910</v>
      </c>
    </row>
    <row r="526" spans="1:49">
      <c r="A526" t="str">
        <f t="shared" si="22"/>
        <v>29</v>
      </c>
      <c r="B526" t="s">
        <v>6341</v>
      </c>
      <c r="C526" t="str">
        <f>"1150"</f>
        <v>1150</v>
      </c>
      <c r="D526" t="s">
        <v>6406</v>
      </c>
      <c r="F526" t="s">
        <v>70</v>
      </c>
      <c r="G526" t="s">
        <v>1209</v>
      </c>
      <c r="H526" t="s">
        <v>4479</v>
      </c>
      <c r="I526" t="s">
        <v>89</v>
      </c>
      <c r="J526" s="2" t="s">
        <v>6407</v>
      </c>
      <c r="K526" t="s">
        <v>6408</v>
      </c>
      <c r="L526" t="s">
        <v>60</v>
      </c>
      <c r="M526" t="s">
        <v>6409</v>
      </c>
      <c r="N526" t="s">
        <v>62</v>
      </c>
      <c r="O526" t="str">
        <f>"08092"</f>
        <v>08092</v>
      </c>
      <c r="P526" t="s">
        <v>6408</v>
      </c>
      <c r="S526" t="s">
        <v>6409</v>
      </c>
      <c r="T526" t="s">
        <v>62</v>
      </c>
      <c r="U526" t="str">
        <f>"08092"</f>
        <v>08092</v>
      </c>
      <c r="W526" t="s">
        <v>6410</v>
      </c>
      <c r="X526" t="s">
        <v>77</v>
      </c>
      <c r="Y526" t="s">
        <v>6411</v>
      </c>
      <c r="Z526" t="s">
        <v>6412</v>
      </c>
      <c r="AA526" t="s">
        <v>135</v>
      </c>
      <c r="AB526" t="s">
        <v>54</v>
      </c>
      <c r="AC526" t="s">
        <v>771</v>
      </c>
      <c r="AD526" t="s">
        <v>222</v>
      </c>
      <c r="AE526" t="s">
        <v>181</v>
      </c>
      <c r="AF526" t="s">
        <v>54</v>
      </c>
      <c r="AG526" t="s">
        <v>1209</v>
      </c>
      <c r="AH526" t="s">
        <v>4479</v>
      </c>
      <c r="AI526" t="s">
        <v>73</v>
      </c>
      <c r="AJ526" t="s">
        <v>54</v>
      </c>
      <c r="AK526" t="s">
        <v>6413</v>
      </c>
      <c r="AL526" t="s">
        <v>5872</v>
      </c>
      <c r="AM526" t="s">
        <v>76</v>
      </c>
      <c r="AN526" t="s">
        <v>77</v>
      </c>
      <c r="AO526" t="s">
        <v>5134</v>
      </c>
      <c r="AP526" t="s">
        <v>6414</v>
      </c>
      <c r="AQ526" t="s">
        <v>80</v>
      </c>
      <c r="AR526" t="s">
        <v>70</v>
      </c>
      <c r="AS526" t="s">
        <v>1209</v>
      </c>
      <c r="AT526" t="s">
        <v>4479</v>
      </c>
      <c r="AU526" t="s">
        <v>83</v>
      </c>
      <c r="AV526" t="s">
        <v>6415</v>
      </c>
      <c r="AW526" t="str">
        <f>"3404050"</f>
        <v>3404050</v>
      </c>
    </row>
    <row r="527" spans="1:49">
      <c r="A527" t="str">
        <f t="shared" si="22"/>
        <v>29</v>
      </c>
      <c r="B527" t="s">
        <v>6341</v>
      </c>
      <c r="C527" t="str">
        <f>"2350"</f>
        <v>2350</v>
      </c>
      <c r="D527" t="s">
        <v>6416</v>
      </c>
      <c r="G527" t="s">
        <v>509</v>
      </c>
      <c r="H527" t="s">
        <v>6417</v>
      </c>
      <c r="I527" t="s">
        <v>89</v>
      </c>
      <c r="J527" s="2" t="s">
        <v>6418</v>
      </c>
      <c r="K527" t="s">
        <v>6419</v>
      </c>
      <c r="L527" t="s">
        <v>60</v>
      </c>
      <c r="M527" t="s">
        <v>6420</v>
      </c>
      <c r="N527" t="s">
        <v>62</v>
      </c>
      <c r="O527" t="str">
        <f>"08732"</f>
        <v>08732</v>
      </c>
      <c r="P527" t="s">
        <v>6421</v>
      </c>
      <c r="S527" t="s">
        <v>6420</v>
      </c>
      <c r="T527" t="s">
        <v>62</v>
      </c>
      <c r="U527" t="str">
        <f>"08732"</f>
        <v>08732</v>
      </c>
      <c r="W527" t="s">
        <v>6422</v>
      </c>
      <c r="Y527" t="s">
        <v>373</v>
      </c>
      <c r="Z527" t="s">
        <v>6423</v>
      </c>
      <c r="AA527" t="s">
        <v>112</v>
      </c>
      <c r="AC527" t="s">
        <v>509</v>
      </c>
      <c r="AD527" t="s">
        <v>6417</v>
      </c>
      <c r="AE527" t="s">
        <v>181</v>
      </c>
      <c r="AG527" t="s">
        <v>509</v>
      </c>
      <c r="AH527" t="s">
        <v>6417</v>
      </c>
      <c r="AI527" t="s">
        <v>73</v>
      </c>
      <c r="AK527" t="s">
        <v>509</v>
      </c>
      <c r="AL527" t="s">
        <v>6417</v>
      </c>
      <c r="AM527" t="s">
        <v>76</v>
      </c>
      <c r="AO527" t="s">
        <v>509</v>
      </c>
      <c r="AP527" t="s">
        <v>6417</v>
      </c>
      <c r="AQ527" t="s">
        <v>80</v>
      </c>
      <c r="AS527" t="s">
        <v>4346</v>
      </c>
      <c r="AT527" t="s">
        <v>6417</v>
      </c>
      <c r="AU527" t="s">
        <v>83</v>
      </c>
      <c r="AV527" t="s">
        <v>6424</v>
      </c>
      <c r="AW527" t="str">
        <f>"3407710"</f>
        <v>3407710</v>
      </c>
    </row>
    <row r="528" spans="1:49">
      <c r="A528" t="str">
        <f t="shared" si="22"/>
        <v>29</v>
      </c>
      <c r="B528" t="s">
        <v>6341</v>
      </c>
      <c r="C528" t="str">
        <f>"2360"</f>
        <v>2360</v>
      </c>
      <c r="D528" t="s">
        <v>6425</v>
      </c>
      <c r="F528" t="s">
        <v>54</v>
      </c>
      <c r="G528" t="s">
        <v>371</v>
      </c>
      <c r="H528" t="s">
        <v>6426</v>
      </c>
      <c r="I528" t="s">
        <v>89</v>
      </c>
      <c r="J528" s="2" t="s">
        <v>6427</v>
      </c>
      <c r="K528" t="s">
        <v>6428</v>
      </c>
      <c r="L528" t="s">
        <v>60</v>
      </c>
      <c r="M528" t="s">
        <v>3605</v>
      </c>
      <c r="N528" t="s">
        <v>62</v>
      </c>
      <c r="O528" t="s">
        <v>6429</v>
      </c>
      <c r="P528" t="s">
        <v>6428</v>
      </c>
      <c r="S528" t="s">
        <v>3605</v>
      </c>
      <c r="T528" t="s">
        <v>62</v>
      </c>
      <c r="U528" t="str">
        <f>"08527"</f>
        <v>08527</v>
      </c>
      <c r="V528" t="str">
        <f>"3497"</f>
        <v>3497</v>
      </c>
      <c r="W528" t="s">
        <v>6430</v>
      </c>
      <c r="X528" t="s">
        <v>70</v>
      </c>
      <c r="Y528" t="s">
        <v>116</v>
      </c>
      <c r="Z528" t="s">
        <v>1676</v>
      </c>
      <c r="AA528" t="s">
        <v>135</v>
      </c>
      <c r="AB528" t="s">
        <v>65</v>
      </c>
      <c r="AC528" t="s">
        <v>1708</v>
      </c>
      <c r="AD528" t="s">
        <v>899</v>
      </c>
      <c r="AE528" t="s">
        <v>98</v>
      </c>
      <c r="AF528" t="s">
        <v>77</v>
      </c>
      <c r="AG528" t="s">
        <v>1479</v>
      </c>
      <c r="AH528" t="s">
        <v>6431</v>
      </c>
      <c r="AI528" t="s">
        <v>73</v>
      </c>
      <c r="AJ528" t="s">
        <v>77</v>
      </c>
      <c r="AK528" t="s">
        <v>6190</v>
      </c>
      <c r="AL528" t="s">
        <v>6432</v>
      </c>
      <c r="AM528" t="s">
        <v>76</v>
      </c>
      <c r="AN528" t="s">
        <v>77</v>
      </c>
      <c r="AO528" t="s">
        <v>3202</v>
      </c>
      <c r="AP528" t="s">
        <v>6433</v>
      </c>
      <c r="AQ528" t="s">
        <v>80</v>
      </c>
      <c r="AR528" t="s">
        <v>77</v>
      </c>
      <c r="AS528" t="s">
        <v>1479</v>
      </c>
      <c r="AT528" t="s">
        <v>6431</v>
      </c>
      <c r="AU528" t="s">
        <v>83</v>
      </c>
      <c r="AV528" t="s">
        <v>6434</v>
      </c>
      <c r="AW528" t="str">
        <f>"3407740"</f>
        <v>3407740</v>
      </c>
    </row>
    <row r="529" spans="1:49">
      <c r="A529" t="str">
        <f t="shared" si="22"/>
        <v>29</v>
      </c>
      <c r="B529" t="s">
        <v>6341</v>
      </c>
      <c r="C529" t="str">
        <f>"2480"</f>
        <v>2480</v>
      </c>
      <c r="D529" t="s">
        <v>6435</v>
      </c>
      <c r="F529" t="s">
        <v>65</v>
      </c>
      <c r="G529" t="s">
        <v>1444</v>
      </c>
      <c r="H529" t="s">
        <v>3577</v>
      </c>
      <c r="I529" t="s">
        <v>89</v>
      </c>
      <c r="J529" s="2" t="s">
        <v>6436</v>
      </c>
      <c r="K529" t="s">
        <v>6437</v>
      </c>
      <c r="L529" t="s">
        <v>60</v>
      </c>
      <c r="M529" t="s">
        <v>6438</v>
      </c>
      <c r="N529" t="s">
        <v>62</v>
      </c>
      <c r="O529" t="str">
        <f>"08734"</f>
        <v>08734</v>
      </c>
      <c r="P529" t="s">
        <v>6437</v>
      </c>
      <c r="S529" t="s">
        <v>6438</v>
      </c>
      <c r="T529" t="s">
        <v>62</v>
      </c>
      <c r="U529" t="str">
        <f>"08734"</f>
        <v>08734</v>
      </c>
      <c r="W529" t="s">
        <v>6439</v>
      </c>
      <c r="X529" t="s">
        <v>77</v>
      </c>
      <c r="Y529" t="s">
        <v>293</v>
      </c>
      <c r="Z529" t="s">
        <v>6440</v>
      </c>
      <c r="AA529" t="s">
        <v>135</v>
      </c>
      <c r="AB529" t="s">
        <v>77</v>
      </c>
      <c r="AC529" t="s">
        <v>358</v>
      </c>
      <c r="AD529" t="s">
        <v>1667</v>
      </c>
      <c r="AE529" t="s">
        <v>98</v>
      </c>
      <c r="AF529" t="s">
        <v>77</v>
      </c>
      <c r="AG529" t="s">
        <v>78</v>
      </c>
      <c r="AH529" t="s">
        <v>2400</v>
      </c>
      <c r="AI529" t="s">
        <v>73</v>
      </c>
      <c r="AJ529" t="s">
        <v>77</v>
      </c>
      <c r="AK529" t="s">
        <v>78</v>
      </c>
      <c r="AL529" t="s">
        <v>2400</v>
      </c>
      <c r="AM529" t="s">
        <v>76</v>
      </c>
      <c r="AR529" t="s">
        <v>65</v>
      </c>
      <c r="AS529" t="s">
        <v>1444</v>
      </c>
      <c r="AT529" t="s">
        <v>3577</v>
      </c>
      <c r="AU529" t="s">
        <v>83</v>
      </c>
      <c r="AV529" t="s">
        <v>6441</v>
      </c>
      <c r="AW529" t="str">
        <f>"3408100"</f>
        <v>3408100</v>
      </c>
    </row>
    <row r="530" spans="1:49">
      <c r="A530" t="str">
        <f t="shared" si="22"/>
        <v>29</v>
      </c>
      <c r="B530" t="s">
        <v>6341</v>
      </c>
      <c r="C530" t="str">
        <f>"2500"</f>
        <v>2500</v>
      </c>
      <c r="D530" t="s">
        <v>6442</v>
      </c>
      <c r="F530" t="s">
        <v>54</v>
      </c>
      <c r="G530" t="s">
        <v>6443</v>
      </c>
      <c r="H530" t="s">
        <v>6444</v>
      </c>
      <c r="I530" t="s">
        <v>89</v>
      </c>
      <c r="J530" s="2" t="s">
        <v>6445</v>
      </c>
      <c r="K530" t="s">
        <v>6446</v>
      </c>
      <c r="L530" t="s">
        <v>60</v>
      </c>
      <c r="M530" t="s">
        <v>6447</v>
      </c>
      <c r="N530" t="s">
        <v>62</v>
      </c>
      <c r="O530" t="str">
        <f>"08733"</f>
        <v>08733</v>
      </c>
      <c r="P530" t="s">
        <v>6446</v>
      </c>
      <c r="S530" t="s">
        <v>6447</v>
      </c>
      <c r="T530" t="s">
        <v>62</v>
      </c>
      <c r="U530" t="str">
        <f>"08733"</f>
        <v>08733</v>
      </c>
      <c r="W530" t="s">
        <v>6448</v>
      </c>
      <c r="X530" t="s">
        <v>77</v>
      </c>
      <c r="Y530" t="s">
        <v>101</v>
      </c>
      <c r="Z530" t="s">
        <v>6449</v>
      </c>
      <c r="AA530" t="s">
        <v>135</v>
      </c>
      <c r="AB530" t="s">
        <v>65</v>
      </c>
      <c r="AC530" t="s">
        <v>6450</v>
      </c>
      <c r="AD530" t="s">
        <v>6451</v>
      </c>
      <c r="AE530" t="s">
        <v>913</v>
      </c>
      <c r="AF530" t="s">
        <v>54</v>
      </c>
      <c r="AG530" t="s">
        <v>1164</v>
      </c>
      <c r="AH530" t="s">
        <v>1827</v>
      </c>
      <c r="AI530" t="s">
        <v>73</v>
      </c>
      <c r="AJ530" t="s">
        <v>77</v>
      </c>
      <c r="AK530" t="s">
        <v>6450</v>
      </c>
      <c r="AL530" t="s">
        <v>6451</v>
      </c>
      <c r="AM530" t="s">
        <v>76</v>
      </c>
      <c r="AN530" t="s">
        <v>77</v>
      </c>
      <c r="AO530" t="s">
        <v>243</v>
      </c>
      <c r="AP530" t="s">
        <v>244</v>
      </c>
      <c r="AQ530" t="s">
        <v>80</v>
      </c>
      <c r="AR530" t="s">
        <v>54</v>
      </c>
      <c r="AS530" t="s">
        <v>6443</v>
      </c>
      <c r="AT530" t="s">
        <v>6444</v>
      </c>
      <c r="AU530" t="s">
        <v>83</v>
      </c>
      <c r="AV530" t="s">
        <v>6452</v>
      </c>
      <c r="AW530" t="str">
        <f>"3408160"</f>
        <v>3408160</v>
      </c>
    </row>
    <row r="531" spans="1:49">
      <c r="A531" t="str">
        <f t="shared" si="22"/>
        <v>29</v>
      </c>
      <c r="B531" t="s">
        <v>6341</v>
      </c>
      <c r="C531" t="str">
        <f>"2520"</f>
        <v>2520</v>
      </c>
      <c r="D531" t="s">
        <v>6453</v>
      </c>
      <c r="F531" t="s">
        <v>54</v>
      </c>
      <c r="G531" t="s">
        <v>932</v>
      </c>
      <c r="H531" t="s">
        <v>6454</v>
      </c>
      <c r="I531" t="s">
        <v>89</v>
      </c>
      <c r="J531" s="2" t="s">
        <v>6455</v>
      </c>
      <c r="K531" t="s">
        <v>6456</v>
      </c>
      <c r="L531" t="s">
        <v>60</v>
      </c>
      <c r="M531" t="s">
        <v>6457</v>
      </c>
      <c r="N531" t="s">
        <v>62</v>
      </c>
      <c r="O531" t="str">
        <f>"08701"</f>
        <v>08701</v>
      </c>
      <c r="P531" t="s">
        <v>6456</v>
      </c>
      <c r="S531" t="s">
        <v>6457</v>
      </c>
      <c r="T531" t="s">
        <v>62</v>
      </c>
      <c r="U531" t="str">
        <f>"08701"</f>
        <v>08701</v>
      </c>
      <c r="W531" t="s">
        <v>6458</v>
      </c>
      <c r="X531" t="s">
        <v>77</v>
      </c>
      <c r="Y531" t="s">
        <v>367</v>
      </c>
      <c r="Z531" t="s">
        <v>3793</v>
      </c>
      <c r="AA531" t="s">
        <v>773</v>
      </c>
      <c r="AB531" t="s">
        <v>54</v>
      </c>
      <c r="AC531" t="s">
        <v>116</v>
      </c>
      <c r="AD531" t="s">
        <v>6459</v>
      </c>
      <c r="AE531" t="s">
        <v>181</v>
      </c>
      <c r="AF531" t="s">
        <v>77</v>
      </c>
      <c r="AG531" t="s">
        <v>6460</v>
      </c>
      <c r="AH531" t="s">
        <v>3557</v>
      </c>
      <c r="AI531" t="s">
        <v>73</v>
      </c>
      <c r="AJ531" t="s">
        <v>54</v>
      </c>
      <c r="AK531" t="s">
        <v>118</v>
      </c>
      <c r="AL531" t="s">
        <v>6461</v>
      </c>
      <c r="AM531" t="s">
        <v>76</v>
      </c>
      <c r="AN531" t="s">
        <v>77</v>
      </c>
      <c r="AO531" t="s">
        <v>182</v>
      </c>
      <c r="AP531" t="s">
        <v>6462</v>
      </c>
      <c r="AQ531" t="s">
        <v>80</v>
      </c>
      <c r="AR531" t="s">
        <v>54</v>
      </c>
      <c r="AS531" t="s">
        <v>932</v>
      </c>
      <c r="AT531" t="s">
        <v>6454</v>
      </c>
      <c r="AU531" t="s">
        <v>83</v>
      </c>
      <c r="AV531" t="s">
        <v>6463</v>
      </c>
      <c r="AW531" t="str">
        <f>"3408220"</f>
        <v>3408220</v>
      </c>
    </row>
    <row r="532" spans="1:49">
      <c r="A532" t="str">
        <f t="shared" si="22"/>
        <v>29</v>
      </c>
      <c r="B532" t="s">
        <v>6341</v>
      </c>
      <c r="C532" t="str">
        <f>"2550"</f>
        <v>2550</v>
      </c>
      <c r="D532" t="s">
        <v>6464</v>
      </c>
      <c r="F532" t="s">
        <v>65</v>
      </c>
      <c r="G532" t="s">
        <v>994</v>
      </c>
      <c r="H532" t="s">
        <v>419</v>
      </c>
      <c r="I532" t="s">
        <v>89</v>
      </c>
      <c r="J532" s="2" t="s">
        <v>6352</v>
      </c>
      <c r="K532" t="s">
        <v>6465</v>
      </c>
      <c r="L532" t="s">
        <v>60</v>
      </c>
      <c r="M532" t="s">
        <v>6466</v>
      </c>
      <c r="N532" t="s">
        <v>62</v>
      </c>
      <c r="O532" t="str">
        <f>"08735"</f>
        <v>08735</v>
      </c>
      <c r="P532" t="s">
        <v>6465</v>
      </c>
      <c r="S532" t="s">
        <v>6466</v>
      </c>
      <c r="T532" t="s">
        <v>62</v>
      </c>
      <c r="U532" t="str">
        <f>"08735"</f>
        <v>08735</v>
      </c>
      <c r="W532" t="s">
        <v>6467</v>
      </c>
      <c r="X532" t="s">
        <v>54</v>
      </c>
      <c r="Y532" t="s">
        <v>233</v>
      </c>
      <c r="Z532" t="s">
        <v>287</v>
      </c>
      <c r="AA532" t="s">
        <v>68</v>
      </c>
      <c r="AB532" t="s">
        <v>65</v>
      </c>
      <c r="AC532" t="s">
        <v>994</v>
      </c>
      <c r="AD532" t="s">
        <v>419</v>
      </c>
      <c r="AE532" t="s">
        <v>69</v>
      </c>
      <c r="AF532" t="s">
        <v>54</v>
      </c>
      <c r="AG532" t="s">
        <v>140</v>
      </c>
      <c r="AH532" t="s">
        <v>853</v>
      </c>
      <c r="AI532" t="s">
        <v>73</v>
      </c>
      <c r="AJ532" t="s">
        <v>54</v>
      </c>
      <c r="AK532" t="s">
        <v>140</v>
      </c>
      <c r="AL532" t="s">
        <v>853</v>
      </c>
      <c r="AM532" t="s">
        <v>76</v>
      </c>
      <c r="AN532" t="s">
        <v>77</v>
      </c>
      <c r="AO532" t="s">
        <v>273</v>
      </c>
      <c r="AP532" t="s">
        <v>6468</v>
      </c>
      <c r="AQ532" t="s">
        <v>80</v>
      </c>
      <c r="AR532" t="s">
        <v>54</v>
      </c>
      <c r="AS532" t="s">
        <v>541</v>
      </c>
      <c r="AT532" t="s">
        <v>6469</v>
      </c>
      <c r="AU532" t="s">
        <v>83</v>
      </c>
      <c r="AV532" t="s">
        <v>6470</v>
      </c>
      <c r="AW532" t="str">
        <f>"3408310"</f>
        <v>3408310</v>
      </c>
    </row>
    <row r="533" spans="1:49">
      <c r="A533" t="str">
        <f t="shared" si="22"/>
        <v>29</v>
      </c>
      <c r="B533" t="s">
        <v>6341</v>
      </c>
      <c r="C533" t="str">
        <f>"2690"</f>
        <v>2690</v>
      </c>
      <c r="D533" t="s">
        <v>6471</v>
      </c>
      <c r="F533" t="s">
        <v>65</v>
      </c>
      <c r="G533" t="s">
        <v>716</v>
      </c>
      <c r="H533" t="s">
        <v>6472</v>
      </c>
      <c r="I533" t="s">
        <v>57</v>
      </c>
      <c r="J533" s="2" t="s">
        <v>6473</v>
      </c>
      <c r="K533" t="s">
        <v>6474</v>
      </c>
      <c r="L533" t="s">
        <v>60</v>
      </c>
      <c r="M533" t="s">
        <v>6475</v>
      </c>
      <c r="N533" t="s">
        <v>62</v>
      </c>
      <c r="O533" t="str">
        <f>"08087"</f>
        <v>08087</v>
      </c>
      <c r="P533" t="s">
        <v>6474</v>
      </c>
      <c r="S533" t="s">
        <v>6475</v>
      </c>
      <c r="T533" t="s">
        <v>62</v>
      </c>
      <c r="U533" t="str">
        <f>"08087"</f>
        <v>08087</v>
      </c>
      <c r="W533" t="s">
        <v>6476</v>
      </c>
      <c r="X533" t="s">
        <v>77</v>
      </c>
      <c r="Y533" t="s">
        <v>663</v>
      </c>
      <c r="Z533" t="s">
        <v>855</v>
      </c>
      <c r="AA533" t="s">
        <v>135</v>
      </c>
      <c r="AB533" t="s">
        <v>54</v>
      </c>
      <c r="AC533" t="s">
        <v>164</v>
      </c>
      <c r="AD533" t="s">
        <v>6477</v>
      </c>
      <c r="AE533" t="s">
        <v>98</v>
      </c>
      <c r="AF533" t="s">
        <v>54</v>
      </c>
      <c r="AG533" t="s">
        <v>619</v>
      </c>
      <c r="AH533" t="s">
        <v>6478</v>
      </c>
      <c r="AI533" t="s">
        <v>73</v>
      </c>
      <c r="AJ533" t="s">
        <v>54</v>
      </c>
      <c r="AK533" t="s">
        <v>619</v>
      </c>
      <c r="AL533" t="s">
        <v>6478</v>
      </c>
      <c r="AM533" t="s">
        <v>76</v>
      </c>
      <c r="AN533" t="s">
        <v>77</v>
      </c>
      <c r="AO533" t="s">
        <v>328</v>
      </c>
      <c r="AP533" t="s">
        <v>6479</v>
      </c>
      <c r="AQ533" t="s">
        <v>80</v>
      </c>
      <c r="AR533" t="s">
        <v>77</v>
      </c>
      <c r="AS533" t="s">
        <v>555</v>
      </c>
      <c r="AT533" t="s">
        <v>6480</v>
      </c>
      <c r="AU533" t="s">
        <v>83</v>
      </c>
      <c r="AV533" t="s">
        <v>6481</v>
      </c>
      <c r="AW533" t="str">
        <f>"3408700"</f>
        <v>3408700</v>
      </c>
    </row>
    <row r="534" spans="1:49">
      <c r="A534" t="str">
        <f t="shared" si="22"/>
        <v>29</v>
      </c>
      <c r="B534" t="s">
        <v>6341</v>
      </c>
      <c r="C534" t="str">
        <f>"2760"</f>
        <v>2760</v>
      </c>
      <c r="D534" t="s">
        <v>6482</v>
      </c>
      <c r="F534" t="s">
        <v>65</v>
      </c>
      <c r="G534" t="s">
        <v>994</v>
      </c>
      <c r="H534" t="s">
        <v>6483</v>
      </c>
      <c r="I534" t="s">
        <v>89</v>
      </c>
      <c r="J534" s="2" t="s">
        <v>6484</v>
      </c>
      <c r="K534" t="s">
        <v>6485</v>
      </c>
      <c r="L534" t="s">
        <v>60</v>
      </c>
      <c r="M534" t="s">
        <v>6486</v>
      </c>
      <c r="N534" t="s">
        <v>62</v>
      </c>
      <c r="O534" t="str">
        <f>"08008"</f>
        <v>08008</v>
      </c>
      <c r="P534" t="s">
        <v>6485</v>
      </c>
      <c r="S534" t="s">
        <v>6486</v>
      </c>
      <c r="T534" t="s">
        <v>62</v>
      </c>
      <c r="U534" t="str">
        <f>"08008"</f>
        <v>08008</v>
      </c>
      <c r="W534" t="s">
        <v>6487</v>
      </c>
      <c r="X534" t="s">
        <v>70</v>
      </c>
      <c r="Y534" t="s">
        <v>306</v>
      </c>
      <c r="Z534" t="s">
        <v>649</v>
      </c>
      <c r="AA534" t="s">
        <v>135</v>
      </c>
      <c r="AB534" t="s">
        <v>77</v>
      </c>
      <c r="AC534" t="s">
        <v>373</v>
      </c>
      <c r="AD534" t="s">
        <v>6488</v>
      </c>
      <c r="AE534" t="s">
        <v>69</v>
      </c>
      <c r="AF534" t="s">
        <v>70</v>
      </c>
      <c r="AG534" t="s">
        <v>1207</v>
      </c>
      <c r="AH534" t="s">
        <v>6489</v>
      </c>
      <c r="AI534" t="s">
        <v>73</v>
      </c>
      <c r="AJ534" t="s">
        <v>65</v>
      </c>
      <c r="AK534" t="s">
        <v>994</v>
      </c>
      <c r="AL534" t="s">
        <v>6483</v>
      </c>
      <c r="AM534" t="s">
        <v>76</v>
      </c>
      <c r="AN534" t="s">
        <v>70</v>
      </c>
      <c r="AO534" t="s">
        <v>3359</v>
      </c>
      <c r="AP534" t="s">
        <v>824</v>
      </c>
      <c r="AQ534" t="s">
        <v>80</v>
      </c>
      <c r="AR534" t="s">
        <v>65</v>
      </c>
      <c r="AS534" t="s">
        <v>994</v>
      </c>
      <c r="AT534" t="s">
        <v>6483</v>
      </c>
      <c r="AU534" t="s">
        <v>83</v>
      </c>
      <c r="AV534" t="s">
        <v>6490</v>
      </c>
      <c r="AW534" t="str">
        <f>"3408910"</f>
        <v>3408910</v>
      </c>
    </row>
    <row r="535" spans="1:49">
      <c r="A535" t="str">
        <f t="shared" si="22"/>
        <v>29</v>
      </c>
      <c r="B535" t="s">
        <v>6341</v>
      </c>
      <c r="C535" t="str">
        <f>"2940"</f>
        <v>2940</v>
      </c>
      <c r="D535" t="s">
        <v>6491</v>
      </c>
      <c r="F535" t="s">
        <v>77</v>
      </c>
      <c r="G535" t="s">
        <v>190</v>
      </c>
      <c r="H535" t="s">
        <v>6492</v>
      </c>
      <c r="I535" t="s">
        <v>89</v>
      </c>
      <c r="J535" s="2" t="s">
        <v>6493</v>
      </c>
      <c r="K535" t="s">
        <v>6494</v>
      </c>
      <c r="L535" t="s">
        <v>60</v>
      </c>
      <c r="M535" t="s">
        <v>6495</v>
      </c>
      <c r="N535" t="s">
        <v>62</v>
      </c>
      <c r="O535" t="str">
        <f>"08759"</f>
        <v>08759</v>
      </c>
      <c r="P535" t="s">
        <v>6494</v>
      </c>
      <c r="S535" t="s">
        <v>6495</v>
      </c>
      <c r="T535" t="s">
        <v>62</v>
      </c>
      <c r="U535" t="str">
        <f>"08759"</f>
        <v>08759</v>
      </c>
      <c r="W535" t="s">
        <v>6496</v>
      </c>
      <c r="X535" t="s">
        <v>77</v>
      </c>
      <c r="Y535" t="s">
        <v>1128</v>
      </c>
      <c r="Z535" t="s">
        <v>6497</v>
      </c>
      <c r="AA535" t="s">
        <v>68</v>
      </c>
      <c r="AB535" t="s">
        <v>77</v>
      </c>
      <c r="AC535" t="s">
        <v>6498</v>
      </c>
      <c r="AD535" t="s">
        <v>6499</v>
      </c>
      <c r="AE535" t="s">
        <v>98</v>
      </c>
      <c r="AF535" t="s">
        <v>77</v>
      </c>
      <c r="AG535" t="s">
        <v>6500</v>
      </c>
      <c r="AH535" t="s">
        <v>1690</v>
      </c>
      <c r="AI535" t="s">
        <v>73</v>
      </c>
      <c r="AJ535" t="s">
        <v>77</v>
      </c>
      <c r="AK535" t="s">
        <v>6500</v>
      </c>
      <c r="AL535" t="s">
        <v>1690</v>
      </c>
      <c r="AM535" t="s">
        <v>76</v>
      </c>
      <c r="AR535" t="s">
        <v>77</v>
      </c>
      <c r="AS535" t="s">
        <v>6500</v>
      </c>
      <c r="AT535" t="s">
        <v>1690</v>
      </c>
      <c r="AU535" t="s">
        <v>83</v>
      </c>
      <c r="AV535" t="s">
        <v>6501</v>
      </c>
      <c r="AW535" t="str">
        <f>"3409450"</f>
        <v>3409450</v>
      </c>
    </row>
    <row r="536" spans="1:49">
      <c r="A536" t="str">
        <f>"80"</f>
        <v>80</v>
      </c>
      <c r="B536" t="s">
        <v>6341</v>
      </c>
      <c r="C536" t="str">
        <f>"7893"</f>
        <v>7893</v>
      </c>
      <c r="D536" t="s">
        <v>6502</v>
      </c>
      <c r="E536" t="str">
        <f>"918"</f>
        <v>918</v>
      </c>
      <c r="F536" t="s">
        <v>54</v>
      </c>
      <c r="G536" t="s">
        <v>6503</v>
      </c>
      <c r="H536" t="s">
        <v>824</v>
      </c>
      <c r="I536" t="s">
        <v>57</v>
      </c>
      <c r="J536" s="2" t="s">
        <v>6504</v>
      </c>
      <c r="K536" t="s">
        <v>6505</v>
      </c>
      <c r="L536" t="s">
        <v>60</v>
      </c>
      <c r="M536" t="s">
        <v>6457</v>
      </c>
      <c r="N536" t="s">
        <v>62</v>
      </c>
      <c r="O536" t="str">
        <f>"08701"</f>
        <v>08701</v>
      </c>
      <c r="P536" t="s">
        <v>6505</v>
      </c>
      <c r="S536" t="s">
        <v>6457</v>
      </c>
      <c r="T536" t="s">
        <v>62</v>
      </c>
      <c r="U536" t="str">
        <f>"08701"</f>
        <v>08701</v>
      </c>
      <c r="W536" t="s">
        <v>6506</v>
      </c>
      <c r="X536" t="s">
        <v>70</v>
      </c>
      <c r="Y536" t="s">
        <v>5458</v>
      </c>
      <c r="Z536" t="s">
        <v>6507</v>
      </c>
      <c r="AA536" t="s">
        <v>68</v>
      </c>
      <c r="AB536" t="s">
        <v>54</v>
      </c>
      <c r="AC536" t="s">
        <v>2099</v>
      </c>
      <c r="AD536" t="s">
        <v>6508</v>
      </c>
      <c r="AE536" t="s">
        <v>69</v>
      </c>
      <c r="AF536" t="s">
        <v>54</v>
      </c>
      <c r="AG536" t="s">
        <v>2099</v>
      </c>
      <c r="AH536" t="s">
        <v>6508</v>
      </c>
      <c r="AI536" t="s">
        <v>73</v>
      </c>
      <c r="AJ536" t="s">
        <v>70</v>
      </c>
      <c r="AK536" t="s">
        <v>1353</v>
      </c>
      <c r="AL536" t="s">
        <v>6211</v>
      </c>
      <c r="AM536" t="s">
        <v>76</v>
      </c>
      <c r="AN536" t="s">
        <v>77</v>
      </c>
      <c r="AO536" t="s">
        <v>223</v>
      </c>
      <c r="AP536" t="s">
        <v>6509</v>
      </c>
      <c r="AQ536" t="s">
        <v>80</v>
      </c>
      <c r="AR536" t="s">
        <v>54</v>
      </c>
      <c r="AS536" t="s">
        <v>6510</v>
      </c>
      <c r="AT536" t="s">
        <v>6511</v>
      </c>
      <c r="AU536" t="s">
        <v>83</v>
      </c>
      <c r="AV536" t="s">
        <v>6512</v>
      </c>
    </row>
    <row r="537" spans="1:49">
      <c r="A537" t="str">
        <f t="shared" ref="A537:A549" si="23">"29"</f>
        <v>29</v>
      </c>
      <c r="B537" t="s">
        <v>6341</v>
      </c>
      <c r="C537" t="str">
        <f>"3790"</f>
        <v>3790</v>
      </c>
      <c r="D537" t="s">
        <v>6513</v>
      </c>
      <c r="F537" t="s">
        <v>54</v>
      </c>
      <c r="G537" t="s">
        <v>429</v>
      </c>
      <c r="H537" t="s">
        <v>6514</v>
      </c>
      <c r="I537" t="s">
        <v>89</v>
      </c>
      <c r="J537" s="2" t="s">
        <v>6515</v>
      </c>
      <c r="K537" t="s">
        <v>6516</v>
      </c>
      <c r="L537" t="s">
        <v>60</v>
      </c>
      <c r="M537" t="s">
        <v>6517</v>
      </c>
      <c r="N537" t="s">
        <v>62</v>
      </c>
      <c r="O537" t="str">
        <f>"08753"</f>
        <v>08753</v>
      </c>
      <c r="P537" t="s">
        <v>6516</v>
      </c>
      <c r="S537" t="s">
        <v>6517</v>
      </c>
      <c r="T537" t="s">
        <v>62</v>
      </c>
      <c r="U537" t="str">
        <f>"08753"</f>
        <v>08753</v>
      </c>
      <c r="W537" t="s">
        <v>6518</v>
      </c>
      <c r="X537" t="s">
        <v>77</v>
      </c>
      <c r="Y537" t="s">
        <v>373</v>
      </c>
      <c r="Z537" t="s">
        <v>6423</v>
      </c>
      <c r="AA537" t="s">
        <v>135</v>
      </c>
      <c r="AC537" t="s">
        <v>367</v>
      </c>
      <c r="AD537" t="s">
        <v>6519</v>
      </c>
      <c r="AE537" t="s">
        <v>115</v>
      </c>
      <c r="AG537" t="s">
        <v>367</v>
      </c>
      <c r="AH537" t="s">
        <v>6519</v>
      </c>
      <c r="AI537" t="s">
        <v>73</v>
      </c>
      <c r="AK537" t="s">
        <v>367</v>
      </c>
      <c r="AL537" t="s">
        <v>6519</v>
      </c>
      <c r="AM537" t="s">
        <v>76</v>
      </c>
      <c r="AO537" t="s">
        <v>2575</v>
      </c>
      <c r="AP537" t="s">
        <v>6520</v>
      </c>
      <c r="AQ537" t="s">
        <v>80</v>
      </c>
      <c r="AR537" t="s">
        <v>65</v>
      </c>
      <c r="AS537" t="s">
        <v>120</v>
      </c>
      <c r="AT537" t="s">
        <v>6521</v>
      </c>
      <c r="AU537" t="s">
        <v>83</v>
      </c>
      <c r="AV537" t="s">
        <v>6522</v>
      </c>
      <c r="AW537" t="str">
        <f>"3411980"</f>
        <v>3411980</v>
      </c>
    </row>
    <row r="538" spans="1:49">
      <c r="A538" t="str">
        <f t="shared" si="23"/>
        <v>29</v>
      </c>
      <c r="B538" t="s">
        <v>6341</v>
      </c>
      <c r="C538" t="str">
        <f>"3800"</f>
        <v>3800</v>
      </c>
      <c r="D538" t="s">
        <v>6523</v>
      </c>
      <c r="F538" t="s">
        <v>54</v>
      </c>
      <c r="G538" t="s">
        <v>3009</v>
      </c>
      <c r="H538" t="s">
        <v>6524</v>
      </c>
      <c r="I538" t="s">
        <v>89</v>
      </c>
      <c r="J538" s="2" t="s">
        <v>6525</v>
      </c>
      <c r="K538" t="s">
        <v>6526</v>
      </c>
      <c r="L538" t="s">
        <v>6527</v>
      </c>
      <c r="M538" t="s">
        <v>6528</v>
      </c>
      <c r="N538" t="s">
        <v>62</v>
      </c>
      <c r="O538" t="str">
        <f>"08740"</f>
        <v>08740</v>
      </c>
      <c r="P538" t="s">
        <v>6526</v>
      </c>
      <c r="Q538" t="s">
        <v>6529</v>
      </c>
      <c r="S538" t="s">
        <v>6528</v>
      </c>
      <c r="T538" t="s">
        <v>62</v>
      </c>
      <c r="U538" t="str">
        <f>"08740"</f>
        <v>08740</v>
      </c>
      <c r="W538" t="s">
        <v>6530</v>
      </c>
      <c r="X538" t="s">
        <v>77</v>
      </c>
      <c r="Y538" t="s">
        <v>328</v>
      </c>
      <c r="Z538" t="s">
        <v>6531</v>
      </c>
      <c r="AA538" t="s">
        <v>135</v>
      </c>
      <c r="AB538" t="s">
        <v>70</v>
      </c>
      <c r="AC538" t="s">
        <v>699</v>
      </c>
      <c r="AD538" t="s">
        <v>6532</v>
      </c>
      <c r="AE538" t="s">
        <v>181</v>
      </c>
      <c r="AF538" t="s">
        <v>54</v>
      </c>
      <c r="AG538" t="s">
        <v>3009</v>
      </c>
      <c r="AH538" t="s">
        <v>6524</v>
      </c>
      <c r="AI538" t="s">
        <v>73</v>
      </c>
      <c r="AJ538" t="s">
        <v>54</v>
      </c>
      <c r="AK538" t="s">
        <v>3009</v>
      </c>
      <c r="AL538" t="s">
        <v>6524</v>
      </c>
      <c r="AM538" t="s">
        <v>76</v>
      </c>
      <c r="AN538" t="s">
        <v>77</v>
      </c>
      <c r="AO538" t="s">
        <v>873</v>
      </c>
      <c r="AP538" t="s">
        <v>3393</v>
      </c>
      <c r="AQ538" t="s">
        <v>80</v>
      </c>
      <c r="AR538" t="s">
        <v>77</v>
      </c>
      <c r="AS538" t="s">
        <v>328</v>
      </c>
      <c r="AT538" t="s">
        <v>6531</v>
      </c>
      <c r="AU538" t="s">
        <v>83</v>
      </c>
      <c r="AV538" t="s">
        <v>6533</v>
      </c>
      <c r="AW538" t="str">
        <f>"3412030"</f>
        <v>3412030</v>
      </c>
    </row>
    <row r="539" spans="1:49">
      <c r="A539" t="str">
        <f t="shared" si="23"/>
        <v>29</v>
      </c>
      <c r="B539" t="s">
        <v>6341</v>
      </c>
      <c r="C539" t="str">
        <f>"3820"</f>
        <v>3820</v>
      </c>
      <c r="D539" t="s">
        <v>6534</v>
      </c>
      <c r="F539" t="s">
        <v>65</v>
      </c>
      <c r="G539" t="s">
        <v>287</v>
      </c>
      <c r="H539" t="s">
        <v>6535</v>
      </c>
      <c r="I539" t="s">
        <v>89</v>
      </c>
      <c r="J539" s="2" t="s">
        <v>6536</v>
      </c>
      <c r="K539" t="s">
        <v>6537</v>
      </c>
      <c r="L539" t="s">
        <v>60</v>
      </c>
      <c r="M539" t="s">
        <v>6538</v>
      </c>
      <c r="N539" t="s">
        <v>62</v>
      </c>
      <c r="O539" t="str">
        <f>"08758"</f>
        <v>08758</v>
      </c>
      <c r="P539" t="s">
        <v>6537</v>
      </c>
      <c r="S539" t="s">
        <v>6538</v>
      </c>
      <c r="T539" t="s">
        <v>62</v>
      </c>
      <c r="U539" t="str">
        <f>"08758"</f>
        <v>08758</v>
      </c>
      <c r="W539" t="s">
        <v>6539</v>
      </c>
      <c r="X539" t="s">
        <v>77</v>
      </c>
      <c r="Y539" t="s">
        <v>1690</v>
      </c>
      <c r="Z539" t="s">
        <v>1691</v>
      </c>
      <c r="AA539" t="s">
        <v>68</v>
      </c>
      <c r="AB539" t="s">
        <v>70</v>
      </c>
      <c r="AC539" t="s">
        <v>2480</v>
      </c>
      <c r="AD539" t="s">
        <v>6540</v>
      </c>
      <c r="AE539" t="s">
        <v>98</v>
      </c>
      <c r="AF539" t="s">
        <v>70</v>
      </c>
      <c r="AG539" t="s">
        <v>71</v>
      </c>
      <c r="AH539" t="s">
        <v>6541</v>
      </c>
      <c r="AI539" t="s">
        <v>73</v>
      </c>
      <c r="AJ539" t="s">
        <v>70</v>
      </c>
      <c r="AK539" t="s">
        <v>6542</v>
      </c>
      <c r="AL539" t="s">
        <v>2351</v>
      </c>
      <c r="AM539" t="s">
        <v>76</v>
      </c>
      <c r="AR539" t="s">
        <v>77</v>
      </c>
      <c r="AS539" t="s">
        <v>358</v>
      </c>
      <c r="AT539" t="s">
        <v>6543</v>
      </c>
      <c r="AU539" t="s">
        <v>83</v>
      </c>
      <c r="AV539" t="s">
        <v>6544</v>
      </c>
      <c r="AW539" t="str">
        <f>"3412090"</f>
        <v>3412090</v>
      </c>
    </row>
    <row r="540" spans="1:49">
      <c r="A540" t="str">
        <f t="shared" si="23"/>
        <v>29</v>
      </c>
      <c r="B540" t="s">
        <v>6341</v>
      </c>
      <c r="C540" t="str">
        <f>"4105"</f>
        <v>4105</v>
      </c>
      <c r="D540" t="s">
        <v>6545</v>
      </c>
      <c r="F540" t="s">
        <v>65</v>
      </c>
      <c r="G540" t="s">
        <v>716</v>
      </c>
      <c r="H540" t="s">
        <v>6472</v>
      </c>
      <c r="I540" t="s">
        <v>89</v>
      </c>
      <c r="J540" s="2" t="s">
        <v>6546</v>
      </c>
      <c r="K540" t="s">
        <v>6547</v>
      </c>
      <c r="L540" t="s">
        <v>60</v>
      </c>
      <c r="M540" t="s">
        <v>6475</v>
      </c>
      <c r="N540" t="s">
        <v>62</v>
      </c>
      <c r="O540" t="str">
        <f>"08087"</f>
        <v>08087</v>
      </c>
      <c r="P540" t="s">
        <v>6547</v>
      </c>
      <c r="Q540" t="s">
        <v>5977</v>
      </c>
      <c r="S540" t="s">
        <v>6475</v>
      </c>
      <c r="T540" t="s">
        <v>62</v>
      </c>
      <c r="U540" t="str">
        <f>"08087"</f>
        <v>08087</v>
      </c>
      <c r="V540" t="str">
        <f>"0248"</f>
        <v>0248</v>
      </c>
      <c r="W540" t="s">
        <v>6548</v>
      </c>
      <c r="X540" t="s">
        <v>77</v>
      </c>
      <c r="Y540" t="s">
        <v>663</v>
      </c>
      <c r="Z540" t="s">
        <v>855</v>
      </c>
      <c r="AA540" t="s">
        <v>68</v>
      </c>
      <c r="AB540" t="s">
        <v>70</v>
      </c>
      <c r="AC540" t="s">
        <v>164</v>
      </c>
      <c r="AD540" t="s">
        <v>6477</v>
      </c>
      <c r="AE540" t="s">
        <v>98</v>
      </c>
      <c r="AF540" t="s">
        <v>54</v>
      </c>
      <c r="AG540" t="s">
        <v>429</v>
      </c>
      <c r="AH540" t="s">
        <v>1180</v>
      </c>
      <c r="AI540" t="s">
        <v>73</v>
      </c>
      <c r="AJ540" t="s">
        <v>54</v>
      </c>
      <c r="AK540" t="s">
        <v>429</v>
      </c>
      <c r="AL540" t="s">
        <v>1180</v>
      </c>
      <c r="AM540" t="s">
        <v>76</v>
      </c>
      <c r="AN540" t="s">
        <v>77</v>
      </c>
      <c r="AO540" t="s">
        <v>182</v>
      </c>
      <c r="AP540" t="s">
        <v>1667</v>
      </c>
      <c r="AQ540" t="s">
        <v>80</v>
      </c>
      <c r="AR540" t="s">
        <v>77</v>
      </c>
      <c r="AS540" t="s">
        <v>1136</v>
      </c>
      <c r="AT540" t="s">
        <v>6549</v>
      </c>
      <c r="AU540" t="s">
        <v>83</v>
      </c>
      <c r="AV540" t="s">
        <v>6550</v>
      </c>
      <c r="AW540" t="str">
        <f>"3413000"</f>
        <v>3413000</v>
      </c>
    </row>
    <row r="541" spans="1:49">
      <c r="A541" t="str">
        <f t="shared" si="23"/>
        <v>29</v>
      </c>
      <c r="B541" t="s">
        <v>6341</v>
      </c>
      <c r="C541" t="str">
        <f>"4190"</f>
        <v>4190</v>
      </c>
      <c r="D541" t="s">
        <v>6551</v>
      </c>
      <c r="F541" t="s">
        <v>70</v>
      </c>
      <c r="G541" t="s">
        <v>116</v>
      </c>
      <c r="H541" t="s">
        <v>6552</v>
      </c>
      <c r="I541" t="s">
        <v>89</v>
      </c>
      <c r="J541" s="2" t="s">
        <v>6553</v>
      </c>
      <c r="K541" t="s">
        <v>6554</v>
      </c>
      <c r="L541" t="s">
        <v>60</v>
      </c>
      <c r="M541" t="s">
        <v>6555</v>
      </c>
      <c r="N541" t="s">
        <v>62</v>
      </c>
      <c r="O541" t="str">
        <f>"08533"</f>
        <v>08533</v>
      </c>
      <c r="P541" t="s">
        <v>6556</v>
      </c>
      <c r="S541" t="s">
        <v>6555</v>
      </c>
      <c r="T541" t="s">
        <v>62</v>
      </c>
      <c r="U541" t="str">
        <f>"08533"</f>
        <v>08533</v>
      </c>
      <c r="W541" t="s">
        <v>6557</v>
      </c>
      <c r="X541" t="s">
        <v>77</v>
      </c>
      <c r="Y541" t="s">
        <v>570</v>
      </c>
      <c r="Z541" t="s">
        <v>6558</v>
      </c>
      <c r="AA541" t="s">
        <v>135</v>
      </c>
      <c r="AB541" t="s">
        <v>54</v>
      </c>
      <c r="AC541" t="s">
        <v>6559</v>
      </c>
      <c r="AD541" t="s">
        <v>6560</v>
      </c>
      <c r="AE541" t="s">
        <v>913</v>
      </c>
      <c r="AF541" t="s">
        <v>54</v>
      </c>
      <c r="AG541" t="s">
        <v>1748</v>
      </c>
      <c r="AH541" t="s">
        <v>6561</v>
      </c>
      <c r="AI541" t="s">
        <v>73</v>
      </c>
      <c r="AJ541" t="s">
        <v>54</v>
      </c>
      <c r="AK541" t="s">
        <v>928</v>
      </c>
      <c r="AL541" t="s">
        <v>6562</v>
      </c>
      <c r="AM541" t="s">
        <v>76</v>
      </c>
      <c r="AR541" t="s">
        <v>77</v>
      </c>
      <c r="AS541" t="s">
        <v>6563</v>
      </c>
      <c r="AT541" t="s">
        <v>6564</v>
      </c>
      <c r="AU541" t="s">
        <v>83</v>
      </c>
      <c r="AV541" t="s">
        <v>6565</v>
      </c>
      <c r="AW541" t="str">
        <f>"3413230"</f>
        <v>3413230</v>
      </c>
    </row>
    <row r="542" spans="1:49">
      <c r="A542" t="str">
        <f t="shared" si="23"/>
        <v>29</v>
      </c>
      <c r="B542" t="s">
        <v>6341</v>
      </c>
      <c r="C542" t="str">
        <f>"4220"</f>
        <v>4220</v>
      </c>
      <c r="D542" t="s">
        <v>6566</v>
      </c>
      <c r="F542" t="s">
        <v>65</v>
      </c>
      <c r="G542" t="s">
        <v>273</v>
      </c>
      <c r="H542" t="s">
        <v>824</v>
      </c>
      <c r="I542" t="s">
        <v>89</v>
      </c>
      <c r="J542" s="2" t="s">
        <v>6567</v>
      </c>
      <c r="K542" t="s">
        <v>6568</v>
      </c>
      <c r="L542" t="s">
        <v>60</v>
      </c>
      <c r="M542" t="s">
        <v>6569</v>
      </c>
      <c r="N542" t="s">
        <v>62</v>
      </c>
      <c r="O542" t="str">
        <f>"08742"</f>
        <v>08742</v>
      </c>
      <c r="P542" t="s">
        <v>6568</v>
      </c>
      <c r="S542" t="s">
        <v>6569</v>
      </c>
      <c r="T542" t="s">
        <v>62</v>
      </c>
      <c r="U542" t="str">
        <f>"08742"</f>
        <v>08742</v>
      </c>
      <c r="W542" t="s">
        <v>6570</v>
      </c>
      <c r="X542" t="s">
        <v>65</v>
      </c>
      <c r="Y542" t="s">
        <v>212</v>
      </c>
      <c r="Z542" t="s">
        <v>6571</v>
      </c>
      <c r="AA542" t="s">
        <v>135</v>
      </c>
      <c r="AB542" t="s">
        <v>70</v>
      </c>
      <c r="AC542" t="s">
        <v>233</v>
      </c>
      <c r="AD542" t="s">
        <v>6357</v>
      </c>
      <c r="AE542" t="s">
        <v>98</v>
      </c>
      <c r="AF542" t="s">
        <v>70</v>
      </c>
      <c r="AG542" t="s">
        <v>233</v>
      </c>
      <c r="AH542" t="s">
        <v>6357</v>
      </c>
      <c r="AI542" t="s">
        <v>73</v>
      </c>
      <c r="AJ542" t="s">
        <v>77</v>
      </c>
      <c r="AK542" t="s">
        <v>287</v>
      </c>
      <c r="AL542" t="s">
        <v>454</v>
      </c>
      <c r="AM542" t="s">
        <v>76</v>
      </c>
      <c r="AN542" t="s">
        <v>77</v>
      </c>
      <c r="AO542" t="s">
        <v>120</v>
      </c>
      <c r="AP542" t="s">
        <v>6572</v>
      </c>
      <c r="AQ542" t="s">
        <v>80</v>
      </c>
      <c r="AR542" t="s">
        <v>65</v>
      </c>
      <c r="AS542" t="s">
        <v>212</v>
      </c>
      <c r="AT542" t="s">
        <v>6571</v>
      </c>
      <c r="AU542" t="s">
        <v>83</v>
      </c>
      <c r="AV542" t="s">
        <v>6573</v>
      </c>
      <c r="AW542" t="str">
        <f>"3413320"</f>
        <v>3413320</v>
      </c>
    </row>
    <row r="543" spans="1:49">
      <c r="A543" t="str">
        <f t="shared" si="23"/>
        <v>29</v>
      </c>
      <c r="B543" t="s">
        <v>6341</v>
      </c>
      <c r="C543" t="str">
        <f>"4210"</f>
        <v>4210</v>
      </c>
      <c r="D543" t="s">
        <v>6574</v>
      </c>
      <c r="F543" t="s">
        <v>77</v>
      </c>
      <c r="G543" t="s">
        <v>687</v>
      </c>
      <c r="H543" t="s">
        <v>824</v>
      </c>
      <c r="I543" t="s">
        <v>89</v>
      </c>
      <c r="J543" s="2" t="s">
        <v>6575</v>
      </c>
      <c r="K543" t="s">
        <v>6576</v>
      </c>
      <c r="L543" t="s">
        <v>60</v>
      </c>
      <c r="M543" t="s">
        <v>6577</v>
      </c>
      <c r="N543" t="s">
        <v>62</v>
      </c>
      <c r="O543" t="str">
        <f>"08742"</f>
        <v>08742</v>
      </c>
      <c r="P543" t="s">
        <v>6576</v>
      </c>
      <c r="S543" t="s">
        <v>6577</v>
      </c>
      <c r="T543" t="s">
        <v>62</v>
      </c>
      <c r="U543" t="str">
        <f>"08742"</f>
        <v>08742</v>
      </c>
      <c r="W543" t="s">
        <v>6578</v>
      </c>
      <c r="X543" t="s">
        <v>77</v>
      </c>
      <c r="Y543" t="s">
        <v>534</v>
      </c>
      <c r="Z543" t="s">
        <v>6579</v>
      </c>
      <c r="AA543" t="s">
        <v>135</v>
      </c>
      <c r="AB543" t="s">
        <v>77</v>
      </c>
      <c r="AC543" t="s">
        <v>873</v>
      </c>
      <c r="AD543" t="s">
        <v>6580</v>
      </c>
      <c r="AE543" t="s">
        <v>69</v>
      </c>
      <c r="AF543" t="s">
        <v>77</v>
      </c>
      <c r="AG543" t="s">
        <v>873</v>
      </c>
      <c r="AH543" t="s">
        <v>6580</v>
      </c>
      <c r="AI543" t="s">
        <v>73</v>
      </c>
      <c r="AJ543" t="s">
        <v>65</v>
      </c>
      <c r="AK543" t="s">
        <v>541</v>
      </c>
      <c r="AL543" t="s">
        <v>6581</v>
      </c>
      <c r="AM543" t="s">
        <v>76</v>
      </c>
      <c r="AN543" t="s">
        <v>77</v>
      </c>
      <c r="AO543" t="s">
        <v>367</v>
      </c>
      <c r="AP543" t="s">
        <v>6362</v>
      </c>
      <c r="AQ543" t="s">
        <v>80</v>
      </c>
      <c r="AR543" t="s">
        <v>77</v>
      </c>
      <c r="AS543" t="s">
        <v>687</v>
      </c>
      <c r="AT543" t="s">
        <v>824</v>
      </c>
      <c r="AU543" t="s">
        <v>83</v>
      </c>
      <c r="AV543" t="s">
        <v>6582</v>
      </c>
      <c r="AW543" t="str">
        <f>"3413290"</f>
        <v>3413290</v>
      </c>
    </row>
    <row r="544" spans="1:49" s="1" customFormat="1">
      <c r="A544" s="1" t="str">
        <f t="shared" si="23"/>
        <v>29</v>
      </c>
      <c r="B544" s="1" t="s">
        <v>6341</v>
      </c>
      <c r="C544" s="1" t="str">
        <f>"4710"</f>
        <v>4710</v>
      </c>
      <c r="D544" s="1" t="s">
        <v>6583</v>
      </c>
      <c r="F544" s="1" t="s">
        <v>65</v>
      </c>
      <c r="G544" s="1" t="s">
        <v>6397</v>
      </c>
      <c r="H544" s="1" t="s">
        <v>6398</v>
      </c>
      <c r="I544" s="1" t="s">
        <v>89</v>
      </c>
      <c r="J544" s="1" t="s">
        <v>6399</v>
      </c>
      <c r="K544" s="1" t="s">
        <v>6584</v>
      </c>
      <c r="L544" s="1" t="s">
        <v>60</v>
      </c>
      <c r="M544" s="1" t="s">
        <v>6585</v>
      </c>
      <c r="N544" s="1" t="s">
        <v>62</v>
      </c>
      <c r="O544" s="1" t="str">
        <f>"08751"</f>
        <v>08751</v>
      </c>
      <c r="P544" s="1" t="s">
        <v>6584</v>
      </c>
      <c r="S544" s="1" t="s">
        <v>6585</v>
      </c>
      <c r="T544" s="1" t="s">
        <v>62</v>
      </c>
      <c r="U544" s="1" t="str">
        <f>"08751"</f>
        <v>08751</v>
      </c>
      <c r="W544" s="1" t="s">
        <v>6586</v>
      </c>
      <c r="X544" s="1" t="s">
        <v>77</v>
      </c>
      <c r="Y544" s="1" t="s">
        <v>367</v>
      </c>
      <c r="Z544" s="1" t="s">
        <v>6402</v>
      </c>
      <c r="AA544" s="1" t="s">
        <v>135</v>
      </c>
      <c r="AB544" s="1" t="s">
        <v>77</v>
      </c>
      <c r="AC544" s="1" t="s">
        <v>287</v>
      </c>
      <c r="AD544" s="1" t="s">
        <v>6587</v>
      </c>
      <c r="AE544" s="1" t="s">
        <v>69</v>
      </c>
      <c r="AF544" s="1" t="s">
        <v>77</v>
      </c>
      <c r="AG544" s="1" t="s">
        <v>287</v>
      </c>
      <c r="AH544" s="1" t="s">
        <v>6587</v>
      </c>
      <c r="AI544" s="1" t="s">
        <v>73</v>
      </c>
      <c r="AJ544" s="1" t="s">
        <v>77</v>
      </c>
      <c r="AK544" s="1" t="s">
        <v>287</v>
      </c>
      <c r="AL544" s="1" t="s">
        <v>6587</v>
      </c>
      <c r="AM544" s="1" t="s">
        <v>76</v>
      </c>
      <c r="AN544" s="1" t="s">
        <v>70</v>
      </c>
      <c r="AO544" s="1" t="s">
        <v>251</v>
      </c>
      <c r="AP544" s="1" t="s">
        <v>1753</v>
      </c>
      <c r="AQ544" s="1" t="s">
        <v>80</v>
      </c>
      <c r="AR544" s="1" t="s">
        <v>65</v>
      </c>
      <c r="AS544" s="1" t="s">
        <v>6397</v>
      </c>
      <c r="AT544" s="1" t="s">
        <v>6398</v>
      </c>
      <c r="AU544" s="1" t="s">
        <v>83</v>
      </c>
      <c r="AV544" s="1" t="s">
        <v>6588</v>
      </c>
      <c r="AW544" s="1" t="str">
        <f>"3414790"</f>
        <v>3414790</v>
      </c>
    </row>
    <row r="545" spans="1:49">
      <c r="A545" t="str">
        <f t="shared" si="23"/>
        <v>29</v>
      </c>
      <c r="B545" t="s">
        <v>6341</v>
      </c>
      <c r="C545" t="str">
        <f>"4720"</f>
        <v>4720</v>
      </c>
      <c r="D545" t="s">
        <v>6589</v>
      </c>
      <c r="K545" t="s">
        <v>6590</v>
      </c>
      <c r="L545" t="s">
        <v>60</v>
      </c>
      <c r="M545" t="s">
        <v>6591</v>
      </c>
      <c r="N545" t="s">
        <v>62</v>
      </c>
      <c r="O545" t="str">
        <f>"08752"</f>
        <v>08752</v>
      </c>
      <c r="P545" t="s">
        <v>6590</v>
      </c>
      <c r="S545" t="s">
        <v>6591</v>
      </c>
      <c r="T545" t="s">
        <v>62</v>
      </c>
      <c r="U545" t="str">
        <f>"08752"</f>
        <v>08752</v>
      </c>
      <c r="X545" t="s">
        <v>77</v>
      </c>
      <c r="Y545" t="s">
        <v>101</v>
      </c>
      <c r="Z545" t="s">
        <v>6449</v>
      </c>
      <c r="AA545" t="s">
        <v>68</v>
      </c>
      <c r="AV545" t="s">
        <v>6592</v>
      </c>
      <c r="AW545" t="str">
        <f>"3414820"</f>
        <v>3414820</v>
      </c>
    </row>
    <row r="546" spans="1:49">
      <c r="A546" t="str">
        <f t="shared" si="23"/>
        <v>29</v>
      </c>
      <c r="B546" t="s">
        <v>6341</v>
      </c>
      <c r="C546" t="str">
        <f>"4950"</f>
        <v>4950</v>
      </c>
      <c r="D546" t="s">
        <v>6593</v>
      </c>
      <c r="F546" t="s">
        <v>77</v>
      </c>
      <c r="G546" t="s">
        <v>1128</v>
      </c>
      <c r="H546" t="s">
        <v>1704</v>
      </c>
      <c r="I546" t="s">
        <v>57</v>
      </c>
      <c r="J546" s="2" t="s">
        <v>6594</v>
      </c>
      <c r="K546" t="s">
        <v>6595</v>
      </c>
      <c r="L546" t="s">
        <v>60</v>
      </c>
      <c r="M546" t="s">
        <v>6596</v>
      </c>
      <c r="N546" t="s">
        <v>62</v>
      </c>
      <c r="O546" t="str">
        <f>"08050"</f>
        <v>08050</v>
      </c>
      <c r="P546" t="s">
        <v>6595</v>
      </c>
      <c r="S546" t="s">
        <v>6596</v>
      </c>
      <c r="T546" t="s">
        <v>62</v>
      </c>
      <c r="U546" t="str">
        <f>"08050"</f>
        <v>08050</v>
      </c>
      <c r="W546" t="s">
        <v>6597</v>
      </c>
      <c r="X546" t="s">
        <v>77</v>
      </c>
      <c r="Y546" t="s">
        <v>534</v>
      </c>
      <c r="Z546" t="s">
        <v>6371</v>
      </c>
      <c r="AA546" t="s">
        <v>135</v>
      </c>
      <c r="AB546" t="s">
        <v>77</v>
      </c>
      <c r="AC546" t="s">
        <v>873</v>
      </c>
      <c r="AD546" t="s">
        <v>6598</v>
      </c>
      <c r="AE546" t="s">
        <v>98</v>
      </c>
      <c r="AF546" t="s">
        <v>77</v>
      </c>
      <c r="AG546" t="s">
        <v>873</v>
      </c>
      <c r="AH546" t="s">
        <v>6598</v>
      </c>
      <c r="AI546" t="s">
        <v>73</v>
      </c>
      <c r="AJ546" t="s">
        <v>77</v>
      </c>
      <c r="AK546" t="s">
        <v>120</v>
      </c>
      <c r="AL546" t="s">
        <v>6599</v>
      </c>
      <c r="AM546" t="s">
        <v>76</v>
      </c>
      <c r="AR546" t="s">
        <v>77</v>
      </c>
      <c r="AS546" t="s">
        <v>212</v>
      </c>
      <c r="AT546" t="s">
        <v>6600</v>
      </c>
      <c r="AU546" t="s">
        <v>83</v>
      </c>
      <c r="AV546" t="s">
        <v>6601</v>
      </c>
      <c r="AW546" t="str">
        <f>"3415480"</f>
        <v>3415480</v>
      </c>
    </row>
    <row r="547" spans="1:49">
      <c r="A547" t="str">
        <f t="shared" si="23"/>
        <v>29</v>
      </c>
      <c r="B547" t="s">
        <v>6341</v>
      </c>
      <c r="C547" t="str">
        <f>"5020"</f>
        <v>5020</v>
      </c>
      <c r="D547" t="s">
        <v>6602</v>
      </c>
      <c r="F547" t="s">
        <v>77</v>
      </c>
      <c r="G547" t="s">
        <v>1690</v>
      </c>
      <c r="H547" t="s">
        <v>6603</v>
      </c>
      <c r="I547" t="s">
        <v>89</v>
      </c>
      <c r="J547" s="2" t="s">
        <v>6604</v>
      </c>
      <c r="K547" t="s">
        <v>6605</v>
      </c>
      <c r="L547" t="s">
        <v>60</v>
      </c>
      <c r="M547" t="s">
        <v>6596</v>
      </c>
      <c r="N547" t="s">
        <v>62</v>
      </c>
      <c r="O547" t="str">
        <f>"08050"</f>
        <v>08050</v>
      </c>
      <c r="P547" t="s">
        <v>6605</v>
      </c>
      <c r="S547" t="s">
        <v>6596</v>
      </c>
      <c r="T547" t="s">
        <v>62</v>
      </c>
      <c r="U547" t="str">
        <f>"08050"</f>
        <v>08050</v>
      </c>
      <c r="W547" t="s">
        <v>6606</v>
      </c>
      <c r="X547" t="s">
        <v>70</v>
      </c>
      <c r="Y547" t="s">
        <v>6607</v>
      </c>
      <c r="Z547" t="s">
        <v>6608</v>
      </c>
      <c r="AA547" t="s">
        <v>112</v>
      </c>
      <c r="AB547" t="s">
        <v>70</v>
      </c>
      <c r="AC547" t="s">
        <v>711</v>
      </c>
      <c r="AD547" t="s">
        <v>6609</v>
      </c>
      <c r="AE547" t="s">
        <v>98</v>
      </c>
      <c r="AF547" t="s">
        <v>77</v>
      </c>
      <c r="AG547" t="s">
        <v>190</v>
      </c>
      <c r="AH547" t="s">
        <v>6610</v>
      </c>
      <c r="AI547" t="s">
        <v>73</v>
      </c>
      <c r="AJ547" t="s">
        <v>54</v>
      </c>
      <c r="AK547" t="s">
        <v>1164</v>
      </c>
      <c r="AL547" t="s">
        <v>3992</v>
      </c>
      <c r="AM547" t="s">
        <v>76</v>
      </c>
      <c r="AN547" t="s">
        <v>77</v>
      </c>
      <c r="AO547" t="s">
        <v>273</v>
      </c>
      <c r="AP547" t="s">
        <v>6611</v>
      </c>
      <c r="AQ547" t="s">
        <v>80</v>
      </c>
      <c r="AR547" t="s">
        <v>77</v>
      </c>
      <c r="AS547" t="s">
        <v>190</v>
      </c>
      <c r="AT547" t="s">
        <v>6610</v>
      </c>
      <c r="AU547" t="s">
        <v>83</v>
      </c>
      <c r="AV547" t="s">
        <v>6612</v>
      </c>
      <c r="AW547" t="str">
        <f>"3415690"</f>
        <v>3415690</v>
      </c>
    </row>
    <row r="548" spans="1:49">
      <c r="A548" t="str">
        <f t="shared" si="23"/>
        <v>29</v>
      </c>
      <c r="B548" t="s">
        <v>6341</v>
      </c>
      <c r="C548" t="str">
        <f>"5190"</f>
        <v>5190</v>
      </c>
      <c r="D548" t="s">
        <v>6613</v>
      </c>
      <c r="F548" t="s">
        <v>77</v>
      </c>
      <c r="G548" t="s">
        <v>319</v>
      </c>
      <c r="H548" t="s">
        <v>6614</v>
      </c>
      <c r="I548" t="s">
        <v>408</v>
      </c>
      <c r="J548" s="2" t="s">
        <v>6615</v>
      </c>
      <c r="K548" t="s">
        <v>6616</v>
      </c>
      <c r="L548" t="s">
        <v>60</v>
      </c>
      <c r="M548" t="s">
        <v>6517</v>
      </c>
      <c r="N548" t="s">
        <v>62</v>
      </c>
      <c r="O548" t="str">
        <f>"08753"</f>
        <v>08753</v>
      </c>
      <c r="P548" t="s">
        <v>6616</v>
      </c>
      <c r="S548" t="s">
        <v>6517</v>
      </c>
      <c r="T548" t="s">
        <v>62</v>
      </c>
      <c r="U548" t="str">
        <f>"08753"</f>
        <v>08753</v>
      </c>
      <c r="W548" t="s">
        <v>6617</v>
      </c>
      <c r="X548" t="s">
        <v>77</v>
      </c>
      <c r="Y548" t="s">
        <v>273</v>
      </c>
      <c r="Z548" t="s">
        <v>6618</v>
      </c>
      <c r="AA548" t="s">
        <v>135</v>
      </c>
      <c r="AB548" t="s">
        <v>54</v>
      </c>
      <c r="AC548" t="s">
        <v>303</v>
      </c>
      <c r="AD548" t="s">
        <v>6619</v>
      </c>
      <c r="AE548" t="s">
        <v>98</v>
      </c>
      <c r="AF548" t="s">
        <v>77</v>
      </c>
      <c r="AG548" t="s">
        <v>223</v>
      </c>
      <c r="AH548" t="s">
        <v>6620</v>
      </c>
      <c r="AI548" t="s">
        <v>73</v>
      </c>
      <c r="AJ548" t="s">
        <v>77</v>
      </c>
      <c r="AK548" t="s">
        <v>328</v>
      </c>
      <c r="AL548" t="s">
        <v>2461</v>
      </c>
      <c r="AM548" t="s">
        <v>76</v>
      </c>
      <c r="AN548" t="s">
        <v>77</v>
      </c>
      <c r="AO548" t="s">
        <v>4670</v>
      </c>
      <c r="AP548" t="s">
        <v>6621</v>
      </c>
      <c r="AQ548" t="s">
        <v>80</v>
      </c>
      <c r="AR548" t="s">
        <v>77</v>
      </c>
      <c r="AS548" t="s">
        <v>182</v>
      </c>
      <c r="AT548" t="s">
        <v>6622</v>
      </c>
      <c r="AU548" t="s">
        <v>83</v>
      </c>
      <c r="AV548" t="s">
        <v>6623</v>
      </c>
      <c r="AW548" t="str">
        <f>"3416230"</f>
        <v>3416230</v>
      </c>
    </row>
    <row r="549" spans="1:49">
      <c r="A549" t="str">
        <f t="shared" si="23"/>
        <v>29</v>
      </c>
      <c r="B549" t="s">
        <v>6341</v>
      </c>
      <c r="C549" t="str">
        <f>"5220"</f>
        <v>5220</v>
      </c>
      <c r="D549" t="s">
        <v>6624</v>
      </c>
      <c r="G549" t="s">
        <v>651</v>
      </c>
      <c r="H549" t="s">
        <v>6625</v>
      </c>
      <c r="I549" t="s">
        <v>89</v>
      </c>
      <c r="J549" s="2" t="s">
        <v>6626</v>
      </c>
      <c r="K549" t="s">
        <v>6627</v>
      </c>
      <c r="L549" t="s">
        <v>60</v>
      </c>
      <c r="M549" t="s">
        <v>6628</v>
      </c>
      <c r="N549" t="s">
        <v>62</v>
      </c>
      <c r="O549" t="str">
        <f>"08087"</f>
        <v>08087</v>
      </c>
      <c r="P549" t="s">
        <v>6629</v>
      </c>
      <c r="S549" t="s">
        <v>6628</v>
      </c>
      <c r="T549" t="s">
        <v>62</v>
      </c>
      <c r="U549" t="str">
        <f>"08087"</f>
        <v>08087</v>
      </c>
      <c r="W549" t="s">
        <v>6630</v>
      </c>
      <c r="Y549" t="s">
        <v>651</v>
      </c>
      <c r="Z549" t="s">
        <v>6625</v>
      </c>
      <c r="AA549" t="s">
        <v>112</v>
      </c>
      <c r="AC549" t="s">
        <v>1826</v>
      </c>
      <c r="AD549" t="s">
        <v>6631</v>
      </c>
      <c r="AE549" t="s">
        <v>181</v>
      </c>
      <c r="AG549" t="s">
        <v>825</v>
      </c>
      <c r="AH549" t="s">
        <v>1664</v>
      </c>
      <c r="AI549" t="s">
        <v>73</v>
      </c>
      <c r="AK549" t="s">
        <v>825</v>
      </c>
      <c r="AL549" t="s">
        <v>1664</v>
      </c>
      <c r="AM549" t="s">
        <v>76</v>
      </c>
      <c r="AS549" t="s">
        <v>651</v>
      </c>
      <c r="AT549" t="s">
        <v>6625</v>
      </c>
      <c r="AU549" t="s">
        <v>83</v>
      </c>
      <c r="AV549" t="s">
        <v>6632</v>
      </c>
      <c r="AW549" t="str">
        <f>"3416320"</f>
        <v>3416320</v>
      </c>
    </row>
    <row r="550" spans="1:49">
      <c r="A550" t="str">
        <f>"31"</f>
        <v>31</v>
      </c>
      <c r="B550" t="s">
        <v>6633</v>
      </c>
      <c r="C550" t="str">
        <f>"0420"</f>
        <v>0420</v>
      </c>
      <c r="D550" t="s">
        <v>6634</v>
      </c>
      <c r="F550" t="s">
        <v>65</v>
      </c>
      <c r="G550" t="s">
        <v>87</v>
      </c>
      <c r="H550" t="s">
        <v>2523</v>
      </c>
      <c r="I550" t="s">
        <v>89</v>
      </c>
      <c r="J550" s="2" t="s">
        <v>5866</v>
      </c>
      <c r="K550" t="s">
        <v>6635</v>
      </c>
      <c r="L550" t="s">
        <v>60</v>
      </c>
      <c r="M550" t="s">
        <v>6636</v>
      </c>
      <c r="N550" t="s">
        <v>62</v>
      </c>
      <c r="O550" t="str">
        <f>"07403"</f>
        <v>07403</v>
      </c>
      <c r="P550" t="s">
        <v>6635</v>
      </c>
      <c r="S550" t="s">
        <v>6636</v>
      </c>
      <c r="T550" t="s">
        <v>62</v>
      </c>
      <c r="U550" t="str">
        <f>"07403"</f>
        <v>07403</v>
      </c>
      <c r="W550" t="s">
        <v>6637</v>
      </c>
      <c r="X550" t="s">
        <v>54</v>
      </c>
      <c r="Y550" t="s">
        <v>2185</v>
      </c>
      <c r="Z550" t="s">
        <v>358</v>
      </c>
      <c r="AA550" t="s">
        <v>773</v>
      </c>
      <c r="AB550" t="s">
        <v>77</v>
      </c>
      <c r="AC550" t="s">
        <v>120</v>
      </c>
      <c r="AD550" t="s">
        <v>5872</v>
      </c>
      <c r="AE550" t="s">
        <v>587</v>
      </c>
      <c r="AF550" t="s">
        <v>77</v>
      </c>
      <c r="AG550" t="s">
        <v>120</v>
      </c>
      <c r="AH550" t="s">
        <v>5872</v>
      </c>
      <c r="AI550" t="s">
        <v>73</v>
      </c>
      <c r="AJ550" t="s">
        <v>77</v>
      </c>
      <c r="AK550" t="s">
        <v>418</v>
      </c>
      <c r="AL550" t="s">
        <v>5872</v>
      </c>
      <c r="AM550" t="s">
        <v>76</v>
      </c>
      <c r="AN550" t="s">
        <v>77</v>
      </c>
      <c r="AO550" t="s">
        <v>120</v>
      </c>
      <c r="AP550" t="s">
        <v>5872</v>
      </c>
      <c r="AQ550" t="s">
        <v>80</v>
      </c>
      <c r="AR550" t="s">
        <v>65</v>
      </c>
      <c r="AS550" t="s">
        <v>87</v>
      </c>
      <c r="AT550" t="s">
        <v>2523</v>
      </c>
      <c r="AU550" t="s">
        <v>83</v>
      </c>
      <c r="AV550" t="s">
        <v>6638</v>
      </c>
      <c r="AW550" t="str">
        <f>"3401860"</f>
        <v>3401860</v>
      </c>
    </row>
    <row r="551" spans="1:49">
      <c r="A551" t="str">
        <f>"80"</f>
        <v>80</v>
      </c>
      <c r="B551" t="s">
        <v>6633</v>
      </c>
      <c r="C551" t="str">
        <f>"6230"</f>
        <v>6230</v>
      </c>
      <c r="D551" t="s">
        <v>6639</v>
      </c>
      <c r="E551" t="str">
        <f>"915"</f>
        <v>915</v>
      </c>
      <c r="F551" t="s">
        <v>65</v>
      </c>
      <c r="G551" t="s">
        <v>555</v>
      </c>
      <c r="H551" t="s">
        <v>6640</v>
      </c>
      <c r="I551" t="s">
        <v>128</v>
      </c>
      <c r="J551" s="2" t="s">
        <v>6641</v>
      </c>
      <c r="K551" t="s">
        <v>6642</v>
      </c>
      <c r="L551" t="s">
        <v>60</v>
      </c>
      <c r="M551" t="s">
        <v>6643</v>
      </c>
      <c r="N551" t="s">
        <v>62</v>
      </c>
      <c r="O551" t="str">
        <f>"07013"</f>
        <v>07013</v>
      </c>
      <c r="P551" t="s">
        <v>6642</v>
      </c>
      <c r="S551" t="s">
        <v>6643</v>
      </c>
      <c r="T551" t="s">
        <v>62</v>
      </c>
      <c r="U551" t="str">
        <f>"07013"</f>
        <v>07013</v>
      </c>
      <c r="W551" t="s">
        <v>6644</v>
      </c>
      <c r="X551" t="s">
        <v>77</v>
      </c>
      <c r="Y551" t="s">
        <v>4173</v>
      </c>
      <c r="Z551" t="s">
        <v>4833</v>
      </c>
      <c r="AA551" t="s">
        <v>112</v>
      </c>
      <c r="AB551" t="s">
        <v>77</v>
      </c>
      <c r="AC551" t="s">
        <v>1418</v>
      </c>
      <c r="AD551" t="s">
        <v>5524</v>
      </c>
      <c r="AE551" t="s">
        <v>181</v>
      </c>
      <c r="AF551" t="s">
        <v>77</v>
      </c>
      <c r="AG551" t="s">
        <v>1418</v>
      </c>
      <c r="AH551" t="s">
        <v>5524</v>
      </c>
      <c r="AI551" t="s">
        <v>73</v>
      </c>
      <c r="AJ551" t="s">
        <v>65</v>
      </c>
      <c r="AK551" t="s">
        <v>555</v>
      </c>
      <c r="AL551" t="s">
        <v>6640</v>
      </c>
      <c r="AM551" t="s">
        <v>76</v>
      </c>
      <c r="AN551" t="s">
        <v>65</v>
      </c>
      <c r="AO551" t="s">
        <v>555</v>
      </c>
      <c r="AP551" t="s">
        <v>6640</v>
      </c>
      <c r="AQ551" t="s">
        <v>80</v>
      </c>
      <c r="AR551" t="s">
        <v>77</v>
      </c>
      <c r="AS551" t="s">
        <v>1418</v>
      </c>
      <c r="AT551" t="s">
        <v>5524</v>
      </c>
      <c r="AU551" t="s">
        <v>83</v>
      </c>
      <c r="AV551" t="s">
        <v>6645</v>
      </c>
      <c r="AW551" t="str">
        <f>"3400052"</f>
        <v>3400052</v>
      </c>
    </row>
    <row r="552" spans="1:49">
      <c r="A552" t="str">
        <f>"31"</f>
        <v>31</v>
      </c>
      <c r="B552" t="s">
        <v>6633</v>
      </c>
      <c r="C552" t="str">
        <f>"0900"</f>
        <v>0900</v>
      </c>
      <c r="D552" t="s">
        <v>6646</v>
      </c>
      <c r="F552" t="s">
        <v>65</v>
      </c>
      <c r="G552" t="s">
        <v>6647</v>
      </c>
      <c r="H552" t="s">
        <v>6648</v>
      </c>
      <c r="I552" t="s">
        <v>89</v>
      </c>
      <c r="J552" s="2" t="s">
        <v>6649</v>
      </c>
      <c r="K552" t="s">
        <v>6650</v>
      </c>
      <c r="L552" t="s">
        <v>60</v>
      </c>
      <c r="M552" t="s">
        <v>6643</v>
      </c>
      <c r="N552" t="s">
        <v>62</v>
      </c>
      <c r="O552" t="str">
        <f>"07013"</f>
        <v>07013</v>
      </c>
      <c r="P552" t="s">
        <v>6650</v>
      </c>
      <c r="S552" t="s">
        <v>6643</v>
      </c>
      <c r="T552" t="s">
        <v>62</v>
      </c>
      <c r="U552" t="str">
        <f>"07013"</f>
        <v>07013</v>
      </c>
      <c r="W552" t="s">
        <v>6651</v>
      </c>
      <c r="X552" t="s">
        <v>77</v>
      </c>
      <c r="Y552" t="s">
        <v>120</v>
      </c>
      <c r="Z552" t="s">
        <v>6652</v>
      </c>
      <c r="AA552" t="s">
        <v>135</v>
      </c>
      <c r="AB552" t="s">
        <v>70</v>
      </c>
      <c r="AC552" t="s">
        <v>957</v>
      </c>
      <c r="AD552" t="s">
        <v>6653</v>
      </c>
      <c r="AE552" t="s">
        <v>69</v>
      </c>
      <c r="AF552" t="s">
        <v>77</v>
      </c>
      <c r="AG552" t="s">
        <v>404</v>
      </c>
      <c r="AH552" t="s">
        <v>6654</v>
      </c>
      <c r="AI552" t="s">
        <v>73</v>
      </c>
      <c r="AJ552" t="s">
        <v>54</v>
      </c>
      <c r="AK552" t="s">
        <v>6655</v>
      </c>
      <c r="AL552" t="s">
        <v>6656</v>
      </c>
      <c r="AM552" t="s">
        <v>76</v>
      </c>
      <c r="AN552" t="s">
        <v>77</v>
      </c>
      <c r="AO552" t="s">
        <v>1418</v>
      </c>
      <c r="AP552" t="s">
        <v>6657</v>
      </c>
      <c r="AQ552" t="s">
        <v>80</v>
      </c>
      <c r="AR552" t="s">
        <v>77</v>
      </c>
      <c r="AS552" t="s">
        <v>404</v>
      </c>
      <c r="AT552" t="s">
        <v>6654</v>
      </c>
      <c r="AU552" t="s">
        <v>83</v>
      </c>
      <c r="AV552" t="s">
        <v>6658</v>
      </c>
      <c r="AW552" t="str">
        <f>"3403300"</f>
        <v>3403300</v>
      </c>
    </row>
    <row r="553" spans="1:49">
      <c r="A553" t="str">
        <f>"80"</f>
        <v>80</v>
      </c>
      <c r="B553" t="s">
        <v>6633</v>
      </c>
      <c r="C553" t="str">
        <f>"7892"</f>
        <v>7892</v>
      </c>
      <c r="D553" t="s">
        <v>6659</v>
      </c>
      <c r="E553" t="str">
        <f>"909"</f>
        <v>909</v>
      </c>
      <c r="F553" t="s">
        <v>65</v>
      </c>
      <c r="G553" t="s">
        <v>6660</v>
      </c>
      <c r="H553" t="s">
        <v>6661</v>
      </c>
      <c r="I553" t="s">
        <v>128</v>
      </c>
      <c r="J553" s="2" t="s">
        <v>6662</v>
      </c>
      <c r="K553" t="s">
        <v>6663</v>
      </c>
      <c r="L553" t="s">
        <v>60</v>
      </c>
      <c r="M553" t="s">
        <v>6664</v>
      </c>
      <c r="N553" t="s">
        <v>62</v>
      </c>
      <c r="O553" t="str">
        <f>"07501"</f>
        <v>07501</v>
      </c>
      <c r="P553" t="s">
        <v>6665</v>
      </c>
      <c r="S553" t="s">
        <v>5228</v>
      </c>
      <c r="T553" t="s">
        <v>62</v>
      </c>
      <c r="U553" t="str">
        <f>"07724"</f>
        <v>07724</v>
      </c>
      <c r="W553" t="s">
        <v>6666</v>
      </c>
      <c r="X553" t="s">
        <v>65</v>
      </c>
      <c r="Y553" t="s">
        <v>212</v>
      </c>
      <c r="Z553" t="s">
        <v>491</v>
      </c>
      <c r="AA553" t="s">
        <v>112</v>
      </c>
      <c r="AB553" t="s">
        <v>77</v>
      </c>
      <c r="AC553" t="s">
        <v>6667</v>
      </c>
      <c r="AD553" t="s">
        <v>6668</v>
      </c>
      <c r="AE553" t="s">
        <v>181</v>
      </c>
      <c r="AF553" t="s">
        <v>70</v>
      </c>
      <c r="AG553" t="s">
        <v>6669</v>
      </c>
      <c r="AH553" t="s">
        <v>6670</v>
      </c>
      <c r="AI553" t="s">
        <v>73</v>
      </c>
      <c r="AJ553" t="s">
        <v>70</v>
      </c>
      <c r="AK553" t="s">
        <v>140</v>
      </c>
      <c r="AL553" t="s">
        <v>1301</v>
      </c>
      <c r="AM553" t="s">
        <v>76</v>
      </c>
      <c r="AN553" t="s">
        <v>70</v>
      </c>
      <c r="AO553" t="s">
        <v>140</v>
      </c>
      <c r="AP553" t="s">
        <v>1301</v>
      </c>
      <c r="AQ553" t="s">
        <v>80</v>
      </c>
      <c r="AR553" t="s">
        <v>77</v>
      </c>
      <c r="AS553" t="s">
        <v>6669</v>
      </c>
      <c r="AT553" t="s">
        <v>6670</v>
      </c>
      <c r="AU553" t="s">
        <v>83</v>
      </c>
      <c r="AV553" t="s">
        <v>6671</v>
      </c>
    </row>
    <row r="554" spans="1:49">
      <c r="A554" t="str">
        <f>"80"</f>
        <v>80</v>
      </c>
      <c r="B554" t="s">
        <v>6633</v>
      </c>
      <c r="C554" t="str">
        <f>"6021"</f>
        <v>6021</v>
      </c>
      <c r="D554" t="s">
        <v>6672</v>
      </c>
      <c r="E554" t="str">
        <f>"905"</f>
        <v>905</v>
      </c>
      <c r="F554" t="s">
        <v>77</v>
      </c>
      <c r="G554" t="s">
        <v>6275</v>
      </c>
      <c r="H554" t="s">
        <v>6673</v>
      </c>
      <c r="I554" t="s">
        <v>128</v>
      </c>
      <c r="J554" s="3" t="s">
        <v>8184</v>
      </c>
      <c r="K554" t="s">
        <v>6674</v>
      </c>
      <c r="L554" t="s">
        <v>60</v>
      </c>
      <c r="M554" t="s">
        <v>6664</v>
      </c>
      <c r="N554" t="s">
        <v>62</v>
      </c>
      <c r="O554" t="s">
        <v>6675</v>
      </c>
      <c r="P554" t="s">
        <v>6674</v>
      </c>
      <c r="S554" t="s">
        <v>6664</v>
      </c>
      <c r="T554" t="s">
        <v>62</v>
      </c>
      <c r="U554" t="str">
        <f>"07501"</f>
        <v>07501</v>
      </c>
      <c r="V554" t="str">
        <f>"1720"</f>
        <v>1720</v>
      </c>
      <c r="W554" t="s">
        <v>6676</v>
      </c>
      <c r="X554" t="s">
        <v>77</v>
      </c>
      <c r="Y554" t="s">
        <v>6677</v>
      </c>
      <c r="Z554" t="s">
        <v>2307</v>
      </c>
      <c r="AA554" t="s">
        <v>68</v>
      </c>
      <c r="AB554" t="s">
        <v>70</v>
      </c>
      <c r="AC554" t="s">
        <v>94</v>
      </c>
      <c r="AD554" t="s">
        <v>167</v>
      </c>
      <c r="AE554" t="s">
        <v>181</v>
      </c>
      <c r="AF554" t="s">
        <v>77</v>
      </c>
      <c r="AG554" t="s">
        <v>6678</v>
      </c>
      <c r="AH554" t="s">
        <v>6679</v>
      </c>
      <c r="AI554" t="s">
        <v>73</v>
      </c>
      <c r="AJ554" t="s">
        <v>70</v>
      </c>
      <c r="AK554" t="s">
        <v>3142</v>
      </c>
      <c r="AL554" t="s">
        <v>3461</v>
      </c>
      <c r="AM554" t="s">
        <v>76</v>
      </c>
      <c r="AN554" t="s">
        <v>77</v>
      </c>
      <c r="AO554" t="s">
        <v>5149</v>
      </c>
      <c r="AP554" t="s">
        <v>6680</v>
      </c>
      <c r="AQ554" t="s">
        <v>80</v>
      </c>
      <c r="AR554" t="s">
        <v>77</v>
      </c>
      <c r="AS554" t="s">
        <v>6681</v>
      </c>
      <c r="AT554" t="s">
        <v>6682</v>
      </c>
      <c r="AU554" t="s">
        <v>83</v>
      </c>
      <c r="AV554" t="s">
        <v>6683</v>
      </c>
      <c r="AW554" t="str">
        <f>"3400718"</f>
        <v>3400718</v>
      </c>
    </row>
    <row r="555" spans="1:49">
      <c r="A555" t="str">
        <f>"31"</f>
        <v>31</v>
      </c>
      <c r="B555" t="s">
        <v>6633</v>
      </c>
      <c r="C555" t="str">
        <f>"1920"</f>
        <v>1920</v>
      </c>
      <c r="D555" t="s">
        <v>6684</v>
      </c>
      <c r="F555" t="s">
        <v>77</v>
      </c>
      <c r="G555" t="s">
        <v>287</v>
      </c>
      <c r="H555" t="s">
        <v>6685</v>
      </c>
      <c r="I555" t="s">
        <v>89</v>
      </c>
      <c r="J555" s="2" t="s">
        <v>6686</v>
      </c>
      <c r="K555" t="s">
        <v>6687</v>
      </c>
      <c r="L555" t="s">
        <v>60</v>
      </c>
      <c r="M555" t="s">
        <v>6688</v>
      </c>
      <c r="N555" t="s">
        <v>62</v>
      </c>
      <c r="O555" t="str">
        <f>"07508"</f>
        <v>07508</v>
      </c>
      <c r="P555" t="s">
        <v>6687</v>
      </c>
      <c r="S555" t="s">
        <v>6688</v>
      </c>
      <c r="T555" t="s">
        <v>62</v>
      </c>
      <c r="U555" t="str">
        <f>"07508"</f>
        <v>07508</v>
      </c>
      <c r="W555" t="s">
        <v>6689</v>
      </c>
      <c r="X555" t="s">
        <v>77</v>
      </c>
      <c r="Y555" t="s">
        <v>328</v>
      </c>
      <c r="Z555" t="s">
        <v>6690</v>
      </c>
      <c r="AA555" t="s">
        <v>135</v>
      </c>
      <c r="AB555" t="s">
        <v>54</v>
      </c>
      <c r="AC555" t="s">
        <v>6691</v>
      </c>
      <c r="AD555" t="s">
        <v>3461</v>
      </c>
      <c r="AE555" t="s">
        <v>98</v>
      </c>
      <c r="AF555" t="s">
        <v>77</v>
      </c>
      <c r="AG555" t="s">
        <v>182</v>
      </c>
      <c r="AH555" t="s">
        <v>6692</v>
      </c>
      <c r="AI555" t="s">
        <v>73</v>
      </c>
      <c r="AJ555" t="s">
        <v>70</v>
      </c>
      <c r="AK555" t="s">
        <v>926</v>
      </c>
      <c r="AL555" t="s">
        <v>6693</v>
      </c>
      <c r="AM555" t="s">
        <v>76</v>
      </c>
      <c r="AR555" t="s">
        <v>54</v>
      </c>
      <c r="AS555" t="s">
        <v>926</v>
      </c>
      <c r="AT555" t="s">
        <v>6693</v>
      </c>
      <c r="AU555" t="s">
        <v>83</v>
      </c>
      <c r="AV555" t="s">
        <v>6694</v>
      </c>
      <c r="AW555" t="str">
        <f>"3406450"</f>
        <v>3406450</v>
      </c>
    </row>
    <row r="556" spans="1:49">
      <c r="A556" t="str">
        <f>"31"</f>
        <v>31</v>
      </c>
      <c r="B556" t="s">
        <v>6633</v>
      </c>
      <c r="C556" t="str">
        <f>"2100"</f>
        <v>2100</v>
      </c>
      <c r="D556" t="s">
        <v>6695</v>
      </c>
      <c r="F556" t="s">
        <v>77</v>
      </c>
      <c r="G556" t="s">
        <v>223</v>
      </c>
      <c r="H556" t="s">
        <v>6696</v>
      </c>
      <c r="I556" t="s">
        <v>57</v>
      </c>
      <c r="J556" s="2" t="s">
        <v>6697</v>
      </c>
      <c r="K556" t="s">
        <v>6698</v>
      </c>
      <c r="L556" t="s">
        <v>60</v>
      </c>
      <c r="M556" t="s">
        <v>6699</v>
      </c>
      <c r="N556" t="s">
        <v>62</v>
      </c>
      <c r="O556" t="str">
        <f>"07506"</f>
        <v>07506</v>
      </c>
      <c r="P556" t="s">
        <v>6698</v>
      </c>
      <c r="S556" t="s">
        <v>6699</v>
      </c>
      <c r="T556" t="s">
        <v>62</v>
      </c>
      <c r="U556" t="str">
        <f>"07506"</f>
        <v>07506</v>
      </c>
      <c r="W556" t="s">
        <v>6700</v>
      </c>
      <c r="X556" t="s">
        <v>54</v>
      </c>
      <c r="Y556" t="s">
        <v>6701</v>
      </c>
      <c r="Z556" t="s">
        <v>6702</v>
      </c>
      <c r="AA556" t="s">
        <v>112</v>
      </c>
      <c r="AB556" t="s">
        <v>54</v>
      </c>
      <c r="AC556" t="s">
        <v>928</v>
      </c>
      <c r="AD556" t="s">
        <v>6703</v>
      </c>
      <c r="AE556" t="s">
        <v>69</v>
      </c>
      <c r="AF556" t="s">
        <v>70</v>
      </c>
      <c r="AG556" t="s">
        <v>306</v>
      </c>
      <c r="AH556" t="s">
        <v>6704</v>
      </c>
      <c r="AI556" t="s">
        <v>73</v>
      </c>
      <c r="AJ556" t="s">
        <v>54</v>
      </c>
      <c r="AK556" t="s">
        <v>5679</v>
      </c>
      <c r="AL556" t="s">
        <v>6705</v>
      </c>
      <c r="AM556" t="s">
        <v>2393</v>
      </c>
      <c r="AN556" t="s">
        <v>77</v>
      </c>
      <c r="AO556" t="s">
        <v>2230</v>
      </c>
      <c r="AP556" t="s">
        <v>6706</v>
      </c>
      <c r="AQ556" t="s">
        <v>80</v>
      </c>
      <c r="AR556" t="s">
        <v>77</v>
      </c>
      <c r="AS556" t="s">
        <v>223</v>
      </c>
      <c r="AT556" t="s">
        <v>6696</v>
      </c>
      <c r="AU556" t="s">
        <v>83</v>
      </c>
      <c r="AV556" t="s">
        <v>6707</v>
      </c>
      <c r="AW556" t="str">
        <f>"3406990"</f>
        <v>3406990</v>
      </c>
    </row>
    <row r="557" spans="1:49">
      <c r="A557" t="str">
        <f>"80"</f>
        <v>80</v>
      </c>
      <c r="B557" t="s">
        <v>6633</v>
      </c>
      <c r="C557" t="str">
        <f>"6079"</f>
        <v>6079</v>
      </c>
      <c r="D557" t="s">
        <v>6708</v>
      </c>
      <c r="E557" t="str">
        <f>"964"</f>
        <v>964</v>
      </c>
      <c r="F557" t="s">
        <v>70</v>
      </c>
      <c r="G557" t="s">
        <v>1142</v>
      </c>
      <c r="H557" t="s">
        <v>6709</v>
      </c>
      <c r="I557" t="s">
        <v>128</v>
      </c>
      <c r="J557" s="2" t="s">
        <v>6710</v>
      </c>
      <c r="K557" t="s">
        <v>6711</v>
      </c>
      <c r="L557" t="s">
        <v>60</v>
      </c>
      <c r="M557" t="s">
        <v>6664</v>
      </c>
      <c r="N557" t="s">
        <v>62</v>
      </c>
      <c r="O557" t="str">
        <f>"07501"</f>
        <v>07501</v>
      </c>
      <c r="P557" t="s">
        <v>6711</v>
      </c>
      <c r="S557" t="s">
        <v>6664</v>
      </c>
      <c r="T557" t="s">
        <v>62</v>
      </c>
      <c r="U557" t="str">
        <f>"07501"</f>
        <v>07501</v>
      </c>
      <c r="W557" t="s">
        <v>6712</v>
      </c>
      <c r="X557" t="s">
        <v>65</v>
      </c>
      <c r="Y557" t="s">
        <v>212</v>
      </c>
      <c r="Z557" t="s">
        <v>491</v>
      </c>
      <c r="AA557" t="s">
        <v>112</v>
      </c>
      <c r="AB557" t="s">
        <v>77</v>
      </c>
      <c r="AC557" t="s">
        <v>1228</v>
      </c>
      <c r="AD557" t="s">
        <v>6713</v>
      </c>
      <c r="AE557" t="s">
        <v>587</v>
      </c>
      <c r="AF557" t="s">
        <v>77</v>
      </c>
      <c r="AG557" t="s">
        <v>1228</v>
      </c>
      <c r="AH557" t="s">
        <v>6713</v>
      </c>
      <c r="AI557" t="s">
        <v>73</v>
      </c>
      <c r="AJ557" t="s">
        <v>54</v>
      </c>
      <c r="AK557" t="s">
        <v>3795</v>
      </c>
      <c r="AL557" t="s">
        <v>6714</v>
      </c>
      <c r="AM557" t="s">
        <v>76</v>
      </c>
      <c r="AN557" t="s">
        <v>77</v>
      </c>
      <c r="AO557" t="s">
        <v>6715</v>
      </c>
      <c r="AP557" t="s">
        <v>6716</v>
      </c>
      <c r="AQ557" t="s">
        <v>80</v>
      </c>
      <c r="AR557" t="s">
        <v>77</v>
      </c>
      <c r="AS557" t="s">
        <v>404</v>
      </c>
      <c r="AT557" t="s">
        <v>6717</v>
      </c>
      <c r="AU557" t="s">
        <v>83</v>
      </c>
      <c r="AV557" t="s">
        <v>6718</v>
      </c>
      <c r="AW557" t="str">
        <f>"3400748"</f>
        <v>3400748</v>
      </c>
    </row>
    <row r="558" spans="1:49">
      <c r="A558" t="str">
        <f>"31"</f>
        <v>31</v>
      </c>
      <c r="B558" t="s">
        <v>6633</v>
      </c>
      <c r="C558" t="str">
        <f>"2510"</f>
        <v>2510</v>
      </c>
      <c r="D558" t="s">
        <v>6719</v>
      </c>
      <c r="F558" t="s">
        <v>77</v>
      </c>
      <c r="G558" t="s">
        <v>6720</v>
      </c>
      <c r="H558" t="s">
        <v>6721</v>
      </c>
      <c r="I558" t="s">
        <v>89</v>
      </c>
      <c r="J558" s="2" t="s">
        <v>6722</v>
      </c>
      <c r="K558" t="s">
        <v>6723</v>
      </c>
      <c r="L558" t="s">
        <v>60</v>
      </c>
      <c r="M558" t="s">
        <v>6724</v>
      </c>
      <c r="N558" t="s">
        <v>62</v>
      </c>
      <c r="O558" t="s">
        <v>6725</v>
      </c>
      <c r="P558" t="s">
        <v>6723</v>
      </c>
      <c r="S558" t="s">
        <v>6724</v>
      </c>
      <c r="T558" t="s">
        <v>62</v>
      </c>
      <c r="U558" t="str">
        <f>"07465"</f>
        <v>07465</v>
      </c>
      <c r="V558" t="str">
        <f>"2198"</f>
        <v>2198</v>
      </c>
      <c r="W558" t="s">
        <v>6726</v>
      </c>
      <c r="X558" t="s">
        <v>77</v>
      </c>
      <c r="Y558" t="s">
        <v>873</v>
      </c>
      <c r="Z558" t="s">
        <v>855</v>
      </c>
      <c r="AA558" t="s">
        <v>135</v>
      </c>
      <c r="AB558" t="s">
        <v>54</v>
      </c>
      <c r="AC558" t="s">
        <v>6727</v>
      </c>
      <c r="AD558" t="s">
        <v>6728</v>
      </c>
      <c r="AE558" t="s">
        <v>415</v>
      </c>
      <c r="AF558" t="s">
        <v>65</v>
      </c>
      <c r="AG558" t="s">
        <v>844</v>
      </c>
      <c r="AH558" t="s">
        <v>4891</v>
      </c>
      <c r="AI558" t="s">
        <v>73</v>
      </c>
      <c r="AJ558" t="s">
        <v>77</v>
      </c>
      <c r="AK558" t="s">
        <v>892</v>
      </c>
      <c r="AL558" t="s">
        <v>6729</v>
      </c>
      <c r="AM558" t="s">
        <v>76</v>
      </c>
      <c r="AN558" t="s">
        <v>77</v>
      </c>
      <c r="AO558" t="s">
        <v>190</v>
      </c>
      <c r="AP558" t="s">
        <v>6730</v>
      </c>
      <c r="AQ558" t="s">
        <v>80</v>
      </c>
      <c r="AR558" t="s">
        <v>65</v>
      </c>
      <c r="AS558" t="s">
        <v>844</v>
      </c>
      <c r="AT558" t="s">
        <v>4891</v>
      </c>
      <c r="AU558" t="s">
        <v>83</v>
      </c>
      <c r="AV558" t="s">
        <v>6731</v>
      </c>
      <c r="AW558" t="str">
        <f>"3408190"</f>
        <v>3408190</v>
      </c>
    </row>
    <row r="559" spans="1:49">
      <c r="A559" t="str">
        <f>"31"</f>
        <v>31</v>
      </c>
      <c r="B559" t="s">
        <v>6633</v>
      </c>
      <c r="C559" t="str">
        <f>"2700"</f>
        <v>2700</v>
      </c>
      <c r="D559" t="s">
        <v>6732</v>
      </c>
      <c r="F559" t="s">
        <v>54</v>
      </c>
      <c r="G559" t="s">
        <v>2148</v>
      </c>
      <c r="H559" t="s">
        <v>6733</v>
      </c>
      <c r="I559" t="s">
        <v>57</v>
      </c>
      <c r="J559" s="2" t="s">
        <v>6734</v>
      </c>
      <c r="K559" t="s">
        <v>6735</v>
      </c>
      <c r="L559" t="s">
        <v>6736</v>
      </c>
      <c r="M559" t="s">
        <v>6737</v>
      </c>
      <c r="N559" t="s">
        <v>62</v>
      </c>
      <c r="O559" t="s">
        <v>6738</v>
      </c>
      <c r="P559" t="s">
        <v>6735</v>
      </c>
      <c r="Q559" t="s">
        <v>6739</v>
      </c>
      <c r="S559" t="s">
        <v>6737</v>
      </c>
      <c r="T559" t="s">
        <v>62</v>
      </c>
      <c r="U559" t="str">
        <f>"07424"</f>
        <v>07424</v>
      </c>
      <c r="V559" t="str">
        <f>"1082"</f>
        <v>1082</v>
      </c>
      <c r="W559" t="s">
        <v>6740</v>
      </c>
      <c r="X559" t="s">
        <v>54</v>
      </c>
      <c r="Y559" t="s">
        <v>287</v>
      </c>
      <c r="Z559" t="s">
        <v>3204</v>
      </c>
      <c r="AA559" t="s">
        <v>135</v>
      </c>
      <c r="AB559" t="s">
        <v>70</v>
      </c>
      <c r="AC559" t="s">
        <v>711</v>
      </c>
      <c r="AD559" t="s">
        <v>6741</v>
      </c>
      <c r="AE559" t="s">
        <v>913</v>
      </c>
      <c r="AF559" t="s">
        <v>77</v>
      </c>
      <c r="AG559" t="s">
        <v>182</v>
      </c>
      <c r="AH559" t="s">
        <v>6742</v>
      </c>
      <c r="AI559" t="s">
        <v>73</v>
      </c>
      <c r="AJ559" t="s">
        <v>54</v>
      </c>
      <c r="AK559" t="s">
        <v>371</v>
      </c>
      <c r="AL559" t="s">
        <v>6743</v>
      </c>
      <c r="AM559" t="s">
        <v>76</v>
      </c>
      <c r="AN559" t="s">
        <v>77</v>
      </c>
      <c r="AO559" t="s">
        <v>6744</v>
      </c>
      <c r="AP559" t="s">
        <v>3916</v>
      </c>
      <c r="AQ559" t="s">
        <v>80</v>
      </c>
      <c r="AR559" t="s">
        <v>77</v>
      </c>
      <c r="AS559" t="s">
        <v>1012</v>
      </c>
      <c r="AT559" t="s">
        <v>824</v>
      </c>
      <c r="AU559" t="s">
        <v>83</v>
      </c>
      <c r="AV559" t="s">
        <v>6745</v>
      </c>
      <c r="AW559" t="str">
        <f>"3408730"</f>
        <v>3408730</v>
      </c>
    </row>
    <row r="560" spans="1:49">
      <c r="A560" t="str">
        <f>"31"</f>
        <v>31</v>
      </c>
      <c r="B560" t="s">
        <v>6633</v>
      </c>
      <c r="C560" t="str">
        <f>"3640"</f>
        <v>3640</v>
      </c>
      <c r="D560" t="s">
        <v>6746</v>
      </c>
      <c r="F560" t="s">
        <v>77</v>
      </c>
      <c r="G560" t="s">
        <v>663</v>
      </c>
      <c r="H560" t="s">
        <v>1236</v>
      </c>
      <c r="I560" t="s">
        <v>89</v>
      </c>
      <c r="J560" s="2" t="s">
        <v>6747</v>
      </c>
      <c r="K560" t="s">
        <v>6748</v>
      </c>
      <c r="L560" t="s">
        <v>60</v>
      </c>
      <c r="M560" t="s">
        <v>6749</v>
      </c>
      <c r="N560" t="s">
        <v>62</v>
      </c>
      <c r="O560" t="str">
        <f>"07508"</f>
        <v>07508</v>
      </c>
      <c r="P560" t="s">
        <v>6748</v>
      </c>
      <c r="S560" t="s">
        <v>6749</v>
      </c>
      <c r="T560" t="s">
        <v>62</v>
      </c>
      <c r="U560" t="str">
        <f>"07508"</f>
        <v>07508</v>
      </c>
      <c r="W560" t="s">
        <v>6750</v>
      </c>
      <c r="X560" t="s">
        <v>54</v>
      </c>
      <c r="Y560" t="s">
        <v>1653</v>
      </c>
      <c r="Z560" t="s">
        <v>6751</v>
      </c>
      <c r="AA560" t="s">
        <v>135</v>
      </c>
      <c r="AB560" t="s">
        <v>54</v>
      </c>
      <c r="AC560" t="s">
        <v>6752</v>
      </c>
      <c r="AD560" t="s">
        <v>6753</v>
      </c>
      <c r="AE560" t="s">
        <v>69</v>
      </c>
      <c r="AF560" t="s">
        <v>54</v>
      </c>
      <c r="AG560" t="s">
        <v>716</v>
      </c>
      <c r="AH560" t="s">
        <v>6754</v>
      </c>
      <c r="AI560" t="s">
        <v>73</v>
      </c>
      <c r="AJ560" t="s">
        <v>54</v>
      </c>
      <c r="AK560" t="s">
        <v>6752</v>
      </c>
      <c r="AL560" t="s">
        <v>6753</v>
      </c>
      <c r="AM560" t="s">
        <v>76</v>
      </c>
      <c r="AN560" t="s">
        <v>77</v>
      </c>
      <c r="AO560" t="s">
        <v>478</v>
      </c>
      <c r="AP560" t="s">
        <v>6755</v>
      </c>
      <c r="AQ560" t="s">
        <v>80</v>
      </c>
      <c r="AR560" t="s">
        <v>54</v>
      </c>
      <c r="AS560" t="s">
        <v>716</v>
      </c>
      <c r="AT560" t="s">
        <v>6754</v>
      </c>
      <c r="AU560" t="s">
        <v>83</v>
      </c>
      <c r="AV560" t="s">
        <v>6756</v>
      </c>
      <c r="AW560" t="str">
        <f>"3411550"</f>
        <v>3411550</v>
      </c>
    </row>
    <row r="561" spans="1:49">
      <c r="A561" t="str">
        <f>"31"</f>
        <v>31</v>
      </c>
      <c r="B561" t="s">
        <v>6633</v>
      </c>
      <c r="C561" t="str">
        <f>"3975"</f>
        <v>3975</v>
      </c>
      <c r="D561" t="s">
        <v>6757</v>
      </c>
      <c r="F561" t="s">
        <v>65</v>
      </c>
      <c r="G561" t="s">
        <v>663</v>
      </c>
      <c r="H561" t="s">
        <v>6758</v>
      </c>
      <c r="I561" t="s">
        <v>1518</v>
      </c>
      <c r="J561" s="2" t="s">
        <v>6759</v>
      </c>
      <c r="K561" t="s">
        <v>6760</v>
      </c>
      <c r="L561" t="s">
        <v>60</v>
      </c>
      <c r="M561" t="s">
        <v>3746</v>
      </c>
      <c r="N561" t="s">
        <v>62</v>
      </c>
      <c r="O561" t="str">
        <f>"07470"</f>
        <v>07470</v>
      </c>
      <c r="P561" t="s">
        <v>6760</v>
      </c>
      <c r="S561" t="s">
        <v>3746</v>
      </c>
      <c r="T561" t="s">
        <v>62</v>
      </c>
      <c r="U561" t="str">
        <f>"07470"</f>
        <v>07470</v>
      </c>
      <c r="W561" t="s">
        <v>6761</v>
      </c>
      <c r="X561" t="s">
        <v>77</v>
      </c>
      <c r="Y561" t="s">
        <v>223</v>
      </c>
      <c r="Z561" t="s">
        <v>6762</v>
      </c>
      <c r="AA561" t="s">
        <v>135</v>
      </c>
      <c r="AB561" t="s">
        <v>65</v>
      </c>
      <c r="AC561" t="s">
        <v>6763</v>
      </c>
      <c r="AD561" t="s">
        <v>6764</v>
      </c>
      <c r="AE561" t="s">
        <v>181</v>
      </c>
      <c r="AF561" t="s">
        <v>65</v>
      </c>
      <c r="AG561" t="s">
        <v>663</v>
      </c>
      <c r="AH561" t="s">
        <v>6758</v>
      </c>
      <c r="AI561" t="s">
        <v>73</v>
      </c>
      <c r="AJ561" t="s">
        <v>65</v>
      </c>
      <c r="AK561" t="s">
        <v>663</v>
      </c>
      <c r="AL561" t="s">
        <v>6758</v>
      </c>
      <c r="AM561" t="s">
        <v>76</v>
      </c>
      <c r="AN561" t="s">
        <v>77</v>
      </c>
      <c r="AO561" t="s">
        <v>212</v>
      </c>
      <c r="AP561" t="s">
        <v>6765</v>
      </c>
      <c r="AQ561" t="s">
        <v>80</v>
      </c>
      <c r="AR561" t="s">
        <v>65</v>
      </c>
      <c r="AS561" t="s">
        <v>663</v>
      </c>
      <c r="AT561" t="s">
        <v>6758</v>
      </c>
      <c r="AU561" t="s">
        <v>83</v>
      </c>
      <c r="AV561" t="s">
        <v>6766</v>
      </c>
      <c r="AW561" t="str">
        <f>"3480364"</f>
        <v>3480364</v>
      </c>
    </row>
    <row r="562" spans="1:49">
      <c r="A562" t="str">
        <f>"80"</f>
        <v>80</v>
      </c>
      <c r="B562" t="s">
        <v>6633</v>
      </c>
      <c r="C562" t="str">
        <f>"6080"</f>
        <v>6080</v>
      </c>
      <c r="D562" t="s">
        <v>6767</v>
      </c>
      <c r="E562" t="str">
        <f>"966"</f>
        <v>966</v>
      </c>
      <c r="F562" t="s">
        <v>77</v>
      </c>
      <c r="G562" t="s">
        <v>4117</v>
      </c>
      <c r="H562" t="s">
        <v>4118</v>
      </c>
      <c r="I562" t="s">
        <v>128</v>
      </c>
      <c r="J562" s="2" t="s">
        <v>576</v>
      </c>
      <c r="K562" t="s">
        <v>6768</v>
      </c>
      <c r="L562" t="s">
        <v>60</v>
      </c>
      <c r="M562" t="s">
        <v>6769</v>
      </c>
      <c r="N562" t="s">
        <v>62</v>
      </c>
      <c r="O562" t="str">
        <f>"07055"</f>
        <v>07055</v>
      </c>
      <c r="P562" t="s">
        <v>579</v>
      </c>
      <c r="Q562" t="s">
        <v>580</v>
      </c>
      <c r="S562" t="s">
        <v>581</v>
      </c>
      <c r="T562" t="s">
        <v>62</v>
      </c>
      <c r="U562" t="str">
        <f>"07410"</f>
        <v>07410</v>
      </c>
      <c r="W562" t="s">
        <v>582</v>
      </c>
      <c r="X562" t="s">
        <v>77</v>
      </c>
      <c r="Y562" t="s">
        <v>583</v>
      </c>
      <c r="Z562" t="s">
        <v>584</v>
      </c>
      <c r="AA562" t="s">
        <v>135</v>
      </c>
      <c r="AB562" t="s">
        <v>54</v>
      </c>
      <c r="AC562" t="s">
        <v>585</v>
      </c>
      <c r="AD562" t="s">
        <v>586</v>
      </c>
      <c r="AE562" t="s">
        <v>587</v>
      </c>
      <c r="AF562" t="s">
        <v>54</v>
      </c>
      <c r="AG562" t="s">
        <v>585</v>
      </c>
      <c r="AH562" t="s">
        <v>586</v>
      </c>
      <c r="AI562" t="s">
        <v>73</v>
      </c>
      <c r="AJ562" t="s">
        <v>77</v>
      </c>
      <c r="AK562" t="s">
        <v>588</v>
      </c>
      <c r="AL562" t="s">
        <v>589</v>
      </c>
      <c r="AM562" t="s">
        <v>76</v>
      </c>
      <c r="AN562" t="s">
        <v>77</v>
      </c>
      <c r="AO562" t="s">
        <v>588</v>
      </c>
      <c r="AP562" t="s">
        <v>589</v>
      </c>
      <c r="AQ562" t="s">
        <v>80</v>
      </c>
      <c r="AR562" t="s">
        <v>77</v>
      </c>
      <c r="AS562" t="s">
        <v>590</v>
      </c>
      <c r="AT562" t="s">
        <v>213</v>
      </c>
      <c r="AU562" t="s">
        <v>83</v>
      </c>
      <c r="AV562" t="s">
        <v>6770</v>
      </c>
      <c r="AW562" t="str">
        <f>"3400745"</f>
        <v>3400745</v>
      </c>
    </row>
    <row r="563" spans="1:49">
      <c r="A563" t="str">
        <f>"31"</f>
        <v>31</v>
      </c>
      <c r="B563" t="s">
        <v>6633</v>
      </c>
      <c r="C563" t="str">
        <f>"3970"</f>
        <v>3970</v>
      </c>
      <c r="D563" t="s">
        <v>6771</v>
      </c>
      <c r="F563" t="s">
        <v>77</v>
      </c>
      <c r="G563" t="s">
        <v>3970</v>
      </c>
      <c r="H563" t="s">
        <v>6772</v>
      </c>
      <c r="I563" t="s">
        <v>408</v>
      </c>
      <c r="J563" s="2" t="s">
        <v>6773</v>
      </c>
      <c r="K563" t="s">
        <v>6774</v>
      </c>
      <c r="L563" t="s">
        <v>60</v>
      </c>
      <c r="M563" t="s">
        <v>6769</v>
      </c>
      <c r="N563" t="s">
        <v>62</v>
      </c>
      <c r="O563" t="s">
        <v>6775</v>
      </c>
      <c r="P563" t="s">
        <v>6776</v>
      </c>
      <c r="S563" t="s">
        <v>6769</v>
      </c>
      <c r="T563" t="s">
        <v>62</v>
      </c>
      <c r="U563" t="str">
        <f>"07055"</f>
        <v>07055</v>
      </c>
      <c r="V563" t="str">
        <f>"4828"</f>
        <v>4828</v>
      </c>
      <c r="W563" t="s">
        <v>6777</v>
      </c>
      <c r="X563" t="s">
        <v>77</v>
      </c>
      <c r="Y563" t="s">
        <v>357</v>
      </c>
      <c r="Z563" t="s">
        <v>2828</v>
      </c>
      <c r="AA563" t="s">
        <v>616</v>
      </c>
      <c r="AB563" t="s">
        <v>54</v>
      </c>
      <c r="AC563" t="s">
        <v>449</v>
      </c>
      <c r="AD563" t="s">
        <v>3458</v>
      </c>
      <c r="AE563" t="s">
        <v>98</v>
      </c>
      <c r="AF563" t="s">
        <v>65</v>
      </c>
      <c r="AG563" t="s">
        <v>6778</v>
      </c>
      <c r="AH563" t="s">
        <v>648</v>
      </c>
      <c r="AI563" t="s">
        <v>73</v>
      </c>
      <c r="AJ563" t="s">
        <v>70</v>
      </c>
      <c r="AK563" t="s">
        <v>6779</v>
      </c>
      <c r="AL563" t="s">
        <v>5788</v>
      </c>
      <c r="AM563" t="s">
        <v>76</v>
      </c>
      <c r="AN563" t="s">
        <v>77</v>
      </c>
      <c r="AO563" t="s">
        <v>6780</v>
      </c>
      <c r="AP563" t="s">
        <v>6781</v>
      </c>
      <c r="AQ563" t="s">
        <v>80</v>
      </c>
      <c r="AR563" t="s">
        <v>77</v>
      </c>
      <c r="AS563" t="s">
        <v>3970</v>
      </c>
      <c r="AT563" t="s">
        <v>6772</v>
      </c>
      <c r="AU563" t="s">
        <v>83</v>
      </c>
      <c r="AV563" t="s">
        <v>6782</v>
      </c>
      <c r="AW563" t="str">
        <f>"3412540"</f>
        <v>3412540</v>
      </c>
    </row>
    <row r="564" spans="1:49">
      <c r="A564" t="str">
        <f>"31"</f>
        <v>31</v>
      </c>
      <c r="B564" t="s">
        <v>6633</v>
      </c>
      <c r="C564" t="str">
        <f>"3980"</f>
        <v>3980</v>
      </c>
      <c r="D564" t="s">
        <v>6783</v>
      </c>
      <c r="F564" t="s">
        <v>77</v>
      </c>
      <c r="G564" t="s">
        <v>310</v>
      </c>
      <c r="H564" t="s">
        <v>6784</v>
      </c>
      <c r="I564" t="s">
        <v>89</v>
      </c>
      <c r="J564" s="2" t="s">
        <v>6785</v>
      </c>
      <c r="K564" t="s">
        <v>6786</v>
      </c>
      <c r="L564" t="s">
        <v>60</v>
      </c>
      <c r="M564" t="s">
        <v>6787</v>
      </c>
      <c r="N564" t="s">
        <v>62</v>
      </c>
      <c r="O564" t="str">
        <f>"07508"</f>
        <v>07508</v>
      </c>
      <c r="P564" t="s">
        <v>6786</v>
      </c>
      <c r="S564" t="s">
        <v>6787</v>
      </c>
      <c r="T564" t="s">
        <v>62</v>
      </c>
      <c r="U564" t="str">
        <f>"07508"</f>
        <v>07508</v>
      </c>
      <c r="W564" t="s">
        <v>6788</v>
      </c>
      <c r="X564" t="s">
        <v>77</v>
      </c>
      <c r="Y564" t="s">
        <v>328</v>
      </c>
      <c r="Z564" t="s">
        <v>6690</v>
      </c>
      <c r="AA564" t="s">
        <v>135</v>
      </c>
      <c r="AB564" t="s">
        <v>70</v>
      </c>
      <c r="AC564" t="s">
        <v>6691</v>
      </c>
      <c r="AD564" t="s">
        <v>3461</v>
      </c>
      <c r="AE564" t="s">
        <v>69</v>
      </c>
      <c r="AF564" t="s">
        <v>70</v>
      </c>
      <c r="AG564" t="s">
        <v>3566</v>
      </c>
      <c r="AH564" t="s">
        <v>6789</v>
      </c>
      <c r="AI564" t="s">
        <v>73</v>
      </c>
      <c r="AJ564" t="s">
        <v>70</v>
      </c>
      <c r="AK564" t="s">
        <v>3566</v>
      </c>
      <c r="AL564" t="s">
        <v>6789</v>
      </c>
      <c r="AM564" t="s">
        <v>76</v>
      </c>
      <c r="AN564" t="s">
        <v>77</v>
      </c>
      <c r="AO564" t="s">
        <v>293</v>
      </c>
      <c r="AP564" t="s">
        <v>6790</v>
      </c>
      <c r="AQ564" t="s">
        <v>80</v>
      </c>
      <c r="AR564" t="s">
        <v>70</v>
      </c>
      <c r="AS564" t="s">
        <v>3566</v>
      </c>
      <c r="AT564" t="s">
        <v>6791</v>
      </c>
      <c r="AU564" t="s">
        <v>83</v>
      </c>
      <c r="AV564" t="s">
        <v>6792</v>
      </c>
      <c r="AW564" t="str">
        <f>"3412600"</f>
        <v>3412600</v>
      </c>
    </row>
    <row r="565" spans="1:49">
      <c r="A565" t="str">
        <f>"31"</f>
        <v>31</v>
      </c>
      <c r="B565" t="s">
        <v>6633</v>
      </c>
      <c r="C565" t="str">
        <f>"3995"</f>
        <v>3995</v>
      </c>
      <c r="D565" t="s">
        <v>6793</v>
      </c>
      <c r="F565" t="s">
        <v>77</v>
      </c>
      <c r="G565" t="s">
        <v>328</v>
      </c>
      <c r="H565" t="s">
        <v>6794</v>
      </c>
      <c r="I565" t="s">
        <v>1518</v>
      </c>
      <c r="J565" s="2" t="s">
        <v>6795</v>
      </c>
      <c r="K565" t="s">
        <v>6760</v>
      </c>
      <c r="L565" t="s">
        <v>60</v>
      </c>
      <c r="M565" t="s">
        <v>3746</v>
      </c>
      <c r="N565" t="s">
        <v>62</v>
      </c>
      <c r="O565" t="s">
        <v>6796</v>
      </c>
      <c r="P565" t="s">
        <v>6760</v>
      </c>
      <c r="S565" t="s">
        <v>3746</v>
      </c>
      <c r="T565" t="s">
        <v>62</v>
      </c>
      <c r="U565" t="str">
        <f>"07470"</f>
        <v>07470</v>
      </c>
      <c r="V565" t="str">
        <f>"2210"</f>
        <v>2210</v>
      </c>
      <c r="W565" t="s">
        <v>6797</v>
      </c>
      <c r="X565" t="s">
        <v>77</v>
      </c>
      <c r="Y565" t="s">
        <v>223</v>
      </c>
      <c r="Z565" t="s">
        <v>6762</v>
      </c>
      <c r="AA565" t="s">
        <v>112</v>
      </c>
      <c r="AB565" t="s">
        <v>70</v>
      </c>
      <c r="AC565" t="s">
        <v>291</v>
      </c>
      <c r="AD565" t="s">
        <v>1097</v>
      </c>
      <c r="AE565" t="s">
        <v>98</v>
      </c>
      <c r="AF565" t="s">
        <v>70</v>
      </c>
      <c r="AG565" t="s">
        <v>6798</v>
      </c>
      <c r="AH565" t="s">
        <v>6799</v>
      </c>
      <c r="AI565" t="s">
        <v>73</v>
      </c>
      <c r="AJ565" t="s">
        <v>77</v>
      </c>
      <c r="AK565" t="s">
        <v>6800</v>
      </c>
      <c r="AL565" t="s">
        <v>6801</v>
      </c>
      <c r="AM565" t="s">
        <v>76</v>
      </c>
      <c r="AN565" t="s">
        <v>65</v>
      </c>
      <c r="AO565" t="s">
        <v>1069</v>
      </c>
      <c r="AP565" t="s">
        <v>6802</v>
      </c>
      <c r="AQ565" t="s">
        <v>80</v>
      </c>
      <c r="AR565" t="s">
        <v>77</v>
      </c>
      <c r="AS565" t="s">
        <v>892</v>
      </c>
      <c r="AT565" t="s">
        <v>6803</v>
      </c>
      <c r="AU565" t="s">
        <v>83</v>
      </c>
      <c r="AV565" t="s">
        <v>6804</v>
      </c>
      <c r="AW565" t="str">
        <f>"3412630"</f>
        <v>3412630</v>
      </c>
    </row>
    <row r="566" spans="1:49">
      <c r="A566" t="str">
        <f>"31"</f>
        <v>31</v>
      </c>
      <c r="B566" t="s">
        <v>6633</v>
      </c>
      <c r="C566" t="str">
        <f>"3990"</f>
        <v>3990</v>
      </c>
      <c r="D566" t="s">
        <v>6805</v>
      </c>
      <c r="F566" t="s">
        <v>65</v>
      </c>
      <c r="G566" t="s">
        <v>6806</v>
      </c>
      <c r="H566" t="s">
        <v>6807</v>
      </c>
      <c r="I566" t="s">
        <v>89</v>
      </c>
      <c r="J566" s="2" t="s">
        <v>6808</v>
      </c>
      <c r="K566" t="s">
        <v>6809</v>
      </c>
      <c r="L566" t="s">
        <v>60</v>
      </c>
      <c r="M566" t="s">
        <v>6810</v>
      </c>
      <c r="N566" t="s">
        <v>62</v>
      </c>
      <c r="O566" t="str">
        <f>"07424"</f>
        <v>07424</v>
      </c>
      <c r="P566" t="s">
        <v>6809</v>
      </c>
      <c r="S566" t="s">
        <v>6810</v>
      </c>
      <c r="T566" t="s">
        <v>62</v>
      </c>
      <c r="U566" t="str">
        <f>"07424"</f>
        <v>07424</v>
      </c>
      <c r="W566" t="s">
        <v>6811</v>
      </c>
      <c r="X566" t="s">
        <v>77</v>
      </c>
      <c r="Y566" t="s">
        <v>343</v>
      </c>
      <c r="Z566" t="s">
        <v>6812</v>
      </c>
      <c r="AA566" t="s">
        <v>112</v>
      </c>
      <c r="AB566" t="s">
        <v>77</v>
      </c>
      <c r="AC566" t="s">
        <v>120</v>
      </c>
      <c r="AD566" t="s">
        <v>6813</v>
      </c>
      <c r="AE566" t="s">
        <v>98</v>
      </c>
      <c r="AF566" t="s">
        <v>77</v>
      </c>
      <c r="AG566" t="s">
        <v>6814</v>
      </c>
      <c r="AH566" t="s">
        <v>6815</v>
      </c>
      <c r="AI566" t="s">
        <v>73</v>
      </c>
      <c r="AJ566" t="s">
        <v>54</v>
      </c>
      <c r="AK566" t="s">
        <v>1748</v>
      </c>
      <c r="AL566" t="s">
        <v>1544</v>
      </c>
      <c r="AM566" t="s">
        <v>2393</v>
      </c>
      <c r="AN566" t="s">
        <v>77</v>
      </c>
      <c r="AO566" t="s">
        <v>1232</v>
      </c>
      <c r="AP566" t="s">
        <v>6816</v>
      </c>
      <c r="AQ566" t="s">
        <v>80</v>
      </c>
      <c r="AR566" t="s">
        <v>77</v>
      </c>
      <c r="AS566" t="s">
        <v>190</v>
      </c>
      <c r="AT566" t="s">
        <v>6815</v>
      </c>
      <c r="AU566" t="s">
        <v>83</v>
      </c>
      <c r="AV566" t="s">
        <v>6817</v>
      </c>
      <c r="AW566" t="str">
        <f>"3412570"</f>
        <v>3412570</v>
      </c>
    </row>
    <row r="567" spans="1:49">
      <c r="A567" t="str">
        <f>"80"</f>
        <v>80</v>
      </c>
      <c r="B567" t="s">
        <v>6633</v>
      </c>
      <c r="C567" t="str">
        <f>"6096"</f>
        <v>6096</v>
      </c>
      <c r="D567" t="s">
        <v>6818</v>
      </c>
      <c r="E567" t="str">
        <f>"982"</f>
        <v>982</v>
      </c>
      <c r="F567" t="s">
        <v>77</v>
      </c>
      <c r="G567" t="s">
        <v>4117</v>
      </c>
      <c r="H567" t="s">
        <v>4118</v>
      </c>
      <c r="I567" t="s">
        <v>128</v>
      </c>
      <c r="J567" s="2" t="s">
        <v>576</v>
      </c>
      <c r="K567" t="s">
        <v>6819</v>
      </c>
      <c r="L567" t="s">
        <v>60</v>
      </c>
      <c r="M567" t="s">
        <v>6664</v>
      </c>
      <c r="N567" t="s">
        <v>62</v>
      </c>
      <c r="O567" t="str">
        <f>"07501"</f>
        <v>07501</v>
      </c>
      <c r="P567" t="s">
        <v>579</v>
      </c>
      <c r="Q567" t="s">
        <v>580</v>
      </c>
      <c r="S567" t="s">
        <v>581</v>
      </c>
      <c r="T567" t="s">
        <v>62</v>
      </c>
      <c r="U567" t="str">
        <f>"07410"</f>
        <v>07410</v>
      </c>
      <c r="W567" t="s">
        <v>582</v>
      </c>
      <c r="X567" t="s">
        <v>77</v>
      </c>
      <c r="Y567" t="s">
        <v>583</v>
      </c>
      <c r="Z567" t="s">
        <v>584</v>
      </c>
      <c r="AA567" t="s">
        <v>135</v>
      </c>
      <c r="AB567" t="s">
        <v>54</v>
      </c>
      <c r="AC567" t="s">
        <v>585</v>
      </c>
      <c r="AD567" t="s">
        <v>586</v>
      </c>
      <c r="AE567" t="s">
        <v>587</v>
      </c>
      <c r="AF567" t="s">
        <v>54</v>
      </c>
      <c r="AG567" t="s">
        <v>585</v>
      </c>
      <c r="AH567" t="s">
        <v>586</v>
      </c>
      <c r="AI567" t="s">
        <v>73</v>
      </c>
      <c r="AJ567" t="s">
        <v>77</v>
      </c>
      <c r="AK567" t="s">
        <v>588</v>
      </c>
      <c r="AL567" t="s">
        <v>589</v>
      </c>
      <c r="AM567" t="s">
        <v>76</v>
      </c>
      <c r="AN567" t="s">
        <v>77</v>
      </c>
      <c r="AO567" t="s">
        <v>588</v>
      </c>
      <c r="AP567" t="s">
        <v>589</v>
      </c>
      <c r="AQ567" t="s">
        <v>80</v>
      </c>
      <c r="AR567" t="s">
        <v>77</v>
      </c>
      <c r="AS567" t="s">
        <v>590</v>
      </c>
      <c r="AT567" t="s">
        <v>213</v>
      </c>
      <c r="AU567" t="s">
        <v>83</v>
      </c>
      <c r="AV567" t="s">
        <v>6820</v>
      </c>
    </row>
    <row r="568" spans="1:49">
      <c r="A568" t="str">
        <f>"80"</f>
        <v>80</v>
      </c>
      <c r="B568" t="s">
        <v>6633</v>
      </c>
      <c r="C568" t="str">
        <f>"7503"</f>
        <v>7503</v>
      </c>
      <c r="D568" t="s">
        <v>6821</v>
      </c>
      <c r="E568" t="str">
        <f>"970"</f>
        <v>970</v>
      </c>
      <c r="F568" t="s">
        <v>77</v>
      </c>
      <c r="G568" t="s">
        <v>1405</v>
      </c>
      <c r="H568" t="s">
        <v>6822</v>
      </c>
      <c r="I568" t="s">
        <v>128</v>
      </c>
      <c r="J568" s="2" t="s">
        <v>6823</v>
      </c>
      <c r="K568" t="s">
        <v>6824</v>
      </c>
      <c r="L568" t="s">
        <v>60</v>
      </c>
      <c r="M568" t="s">
        <v>6664</v>
      </c>
      <c r="N568" t="s">
        <v>62</v>
      </c>
      <c r="O568" t="str">
        <f>"07503"</f>
        <v>07503</v>
      </c>
      <c r="P568" t="s">
        <v>6824</v>
      </c>
      <c r="S568" t="s">
        <v>6664</v>
      </c>
      <c r="T568" t="s">
        <v>62</v>
      </c>
      <c r="U568" t="str">
        <f>"07503"</f>
        <v>07503</v>
      </c>
      <c r="W568" t="s">
        <v>6825</v>
      </c>
      <c r="X568" t="s">
        <v>77</v>
      </c>
      <c r="Y568" t="s">
        <v>206</v>
      </c>
      <c r="Z568" t="s">
        <v>6826</v>
      </c>
      <c r="AA568" t="s">
        <v>135</v>
      </c>
      <c r="AB568" t="s">
        <v>54</v>
      </c>
      <c r="AC568" t="s">
        <v>6827</v>
      </c>
      <c r="AD568" t="s">
        <v>4118</v>
      </c>
      <c r="AE568" t="s">
        <v>69</v>
      </c>
      <c r="AF568" t="s">
        <v>70</v>
      </c>
      <c r="AG568" t="s">
        <v>6828</v>
      </c>
      <c r="AH568" t="s">
        <v>6829</v>
      </c>
      <c r="AI568" t="s">
        <v>73</v>
      </c>
      <c r="AJ568" t="s">
        <v>77</v>
      </c>
      <c r="AK568" t="s">
        <v>6830</v>
      </c>
      <c r="AL568" t="s">
        <v>6831</v>
      </c>
      <c r="AM568" t="s">
        <v>76</v>
      </c>
      <c r="AR568" t="s">
        <v>77</v>
      </c>
      <c r="AS568" t="s">
        <v>6832</v>
      </c>
      <c r="AT568" t="s">
        <v>6833</v>
      </c>
      <c r="AU568" t="s">
        <v>83</v>
      </c>
      <c r="AV568" t="s">
        <v>6834</v>
      </c>
      <c r="AW568" t="str">
        <f>"3400087"</f>
        <v>3400087</v>
      </c>
    </row>
    <row r="569" spans="1:49">
      <c r="A569" t="str">
        <f>"31"</f>
        <v>31</v>
      </c>
      <c r="B569" t="s">
        <v>6633</v>
      </c>
      <c r="C569" t="str">
        <f>"4010"</f>
        <v>4010</v>
      </c>
      <c r="D569" t="s">
        <v>6835</v>
      </c>
      <c r="F569" t="s">
        <v>70</v>
      </c>
      <c r="G569" t="s">
        <v>3020</v>
      </c>
      <c r="H569" t="s">
        <v>3603</v>
      </c>
      <c r="I569" t="s">
        <v>2269</v>
      </c>
      <c r="J569" s="2" t="s">
        <v>6836</v>
      </c>
      <c r="K569" t="s">
        <v>6837</v>
      </c>
      <c r="L569" t="s">
        <v>60</v>
      </c>
      <c r="M569" t="s">
        <v>6664</v>
      </c>
      <c r="N569" t="s">
        <v>62</v>
      </c>
      <c r="O569" t="str">
        <f>"07503"</f>
        <v>07503</v>
      </c>
      <c r="P569" t="s">
        <v>6837</v>
      </c>
      <c r="S569" t="s">
        <v>6664</v>
      </c>
      <c r="T569" t="s">
        <v>62</v>
      </c>
      <c r="U569" t="str">
        <f>"07503"</f>
        <v>07503</v>
      </c>
      <c r="W569" t="s">
        <v>6838</v>
      </c>
      <c r="X569" t="s">
        <v>77</v>
      </c>
      <c r="Y569" t="s">
        <v>223</v>
      </c>
      <c r="Z569" t="s">
        <v>6839</v>
      </c>
      <c r="AA569" t="s">
        <v>68</v>
      </c>
      <c r="AB569" t="s">
        <v>70</v>
      </c>
      <c r="AC569" t="s">
        <v>849</v>
      </c>
      <c r="AD569" t="s">
        <v>6840</v>
      </c>
      <c r="AE569" t="s">
        <v>868</v>
      </c>
      <c r="AF569" t="s">
        <v>70</v>
      </c>
      <c r="AG569" t="s">
        <v>371</v>
      </c>
      <c r="AH569" t="s">
        <v>2007</v>
      </c>
      <c r="AI569" t="s">
        <v>73</v>
      </c>
      <c r="AJ569" t="s">
        <v>77</v>
      </c>
      <c r="AK569" t="s">
        <v>743</v>
      </c>
      <c r="AL569" t="s">
        <v>6841</v>
      </c>
      <c r="AM569" t="s">
        <v>76</v>
      </c>
      <c r="AN569" t="s">
        <v>77</v>
      </c>
      <c r="AO569" t="s">
        <v>1232</v>
      </c>
      <c r="AP569" t="s">
        <v>2530</v>
      </c>
      <c r="AQ569" t="s">
        <v>80</v>
      </c>
      <c r="AR569" t="s">
        <v>77</v>
      </c>
      <c r="AS569" t="s">
        <v>166</v>
      </c>
      <c r="AT569" t="s">
        <v>6842</v>
      </c>
      <c r="AU569" t="s">
        <v>83</v>
      </c>
      <c r="AV569" t="s">
        <v>6843</v>
      </c>
      <c r="AW569" t="str">
        <f>"3412690"</f>
        <v>3412690</v>
      </c>
    </row>
    <row r="570" spans="1:49">
      <c r="A570" t="str">
        <f>"80"</f>
        <v>80</v>
      </c>
      <c r="B570" t="s">
        <v>6633</v>
      </c>
      <c r="C570" t="str">
        <f>"6106"</f>
        <v>6106</v>
      </c>
      <c r="D570" t="s">
        <v>6844</v>
      </c>
      <c r="E570" t="str">
        <f>"997"</f>
        <v>997</v>
      </c>
      <c r="F570" t="s">
        <v>70</v>
      </c>
      <c r="G570" t="s">
        <v>2505</v>
      </c>
      <c r="H570" t="s">
        <v>6845</v>
      </c>
      <c r="I570" t="s">
        <v>128</v>
      </c>
      <c r="J570" s="2" t="s">
        <v>6846</v>
      </c>
      <c r="K570" t="s">
        <v>6847</v>
      </c>
      <c r="L570" t="s">
        <v>60</v>
      </c>
      <c r="M570" t="s">
        <v>6664</v>
      </c>
      <c r="N570" t="s">
        <v>62</v>
      </c>
      <c r="O570" t="str">
        <f>"07501"</f>
        <v>07501</v>
      </c>
      <c r="P570" t="s">
        <v>6847</v>
      </c>
      <c r="S570" t="s">
        <v>6664</v>
      </c>
      <c r="T570" t="s">
        <v>62</v>
      </c>
      <c r="U570" t="str">
        <f>"07501"</f>
        <v>07501</v>
      </c>
      <c r="W570" t="s">
        <v>6848</v>
      </c>
      <c r="X570" t="s">
        <v>77</v>
      </c>
      <c r="Y570" t="s">
        <v>120</v>
      </c>
      <c r="Z570" t="s">
        <v>491</v>
      </c>
      <c r="AA570" t="s">
        <v>112</v>
      </c>
      <c r="AB570" t="s">
        <v>70</v>
      </c>
      <c r="AC570" t="s">
        <v>932</v>
      </c>
      <c r="AD570" t="s">
        <v>6849</v>
      </c>
      <c r="AE570" t="s">
        <v>98</v>
      </c>
      <c r="AF570" t="s">
        <v>70</v>
      </c>
      <c r="AG570" t="s">
        <v>2074</v>
      </c>
      <c r="AH570" t="s">
        <v>6850</v>
      </c>
      <c r="AI570" t="s">
        <v>73</v>
      </c>
      <c r="AJ570" t="s">
        <v>70</v>
      </c>
      <c r="AK570" t="s">
        <v>429</v>
      </c>
      <c r="AL570" t="s">
        <v>6851</v>
      </c>
      <c r="AM570" t="s">
        <v>76</v>
      </c>
      <c r="AR570" t="s">
        <v>70</v>
      </c>
      <c r="AS570" t="s">
        <v>429</v>
      </c>
      <c r="AT570" t="s">
        <v>6851</v>
      </c>
      <c r="AU570" t="s">
        <v>83</v>
      </c>
      <c r="AV570" t="s">
        <v>6852</v>
      </c>
    </row>
    <row r="571" spans="1:49">
      <c r="A571" t="str">
        <f t="shared" ref="A571:A578" si="24">"31"</f>
        <v>31</v>
      </c>
      <c r="B571" t="s">
        <v>6633</v>
      </c>
      <c r="C571" t="str">
        <f>"4230"</f>
        <v>4230</v>
      </c>
      <c r="D571" t="s">
        <v>6853</v>
      </c>
      <c r="F571" t="s">
        <v>65</v>
      </c>
      <c r="G571" t="s">
        <v>555</v>
      </c>
      <c r="H571" t="s">
        <v>6854</v>
      </c>
      <c r="I571" t="s">
        <v>57</v>
      </c>
      <c r="J571" s="2" t="s">
        <v>6855</v>
      </c>
      <c r="K571" t="s">
        <v>6856</v>
      </c>
      <c r="L571" t="s">
        <v>60</v>
      </c>
      <c r="M571" t="s">
        <v>6857</v>
      </c>
      <c r="N571" t="s">
        <v>62</v>
      </c>
      <c r="O571" t="str">
        <f>"07442"</f>
        <v>07442</v>
      </c>
      <c r="P571" t="s">
        <v>6856</v>
      </c>
      <c r="S571" t="s">
        <v>6857</v>
      </c>
      <c r="T571" t="s">
        <v>62</v>
      </c>
      <c r="U571" t="str">
        <f>"07442"</f>
        <v>07442</v>
      </c>
      <c r="W571" t="s">
        <v>6858</v>
      </c>
      <c r="X571" t="s">
        <v>54</v>
      </c>
      <c r="Y571" t="s">
        <v>1353</v>
      </c>
      <c r="Z571" t="s">
        <v>6859</v>
      </c>
      <c r="AA571" t="s">
        <v>135</v>
      </c>
      <c r="AB571" t="s">
        <v>70</v>
      </c>
      <c r="AC571" t="s">
        <v>6860</v>
      </c>
      <c r="AD571" t="s">
        <v>6861</v>
      </c>
      <c r="AE571" t="s">
        <v>98</v>
      </c>
      <c r="AF571" t="s">
        <v>70</v>
      </c>
      <c r="AG571" t="s">
        <v>356</v>
      </c>
      <c r="AH571" t="s">
        <v>6862</v>
      </c>
      <c r="AI571" t="s">
        <v>73</v>
      </c>
      <c r="AJ571" t="s">
        <v>65</v>
      </c>
      <c r="AK571" t="s">
        <v>4786</v>
      </c>
      <c r="AL571" t="s">
        <v>6863</v>
      </c>
      <c r="AM571" t="s">
        <v>76</v>
      </c>
      <c r="AN571" t="s">
        <v>77</v>
      </c>
      <c r="AO571" t="s">
        <v>367</v>
      </c>
      <c r="AP571" t="s">
        <v>6864</v>
      </c>
      <c r="AQ571" t="s">
        <v>80</v>
      </c>
      <c r="AR571" t="s">
        <v>65</v>
      </c>
      <c r="AS571" t="s">
        <v>6865</v>
      </c>
      <c r="AT571" t="s">
        <v>6866</v>
      </c>
      <c r="AU571" t="s">
        <v>83</v>
      </c>
      <c r="AV571" t="s">
        <v>6867</v>
      </c>
      <c r="AW571" t="str">
        <f>"3413350"</f>
        <v>3413350</v>
      </c>
    </row>
    <row r="572" spans="1:49">
      <c r="A572" t="str">
        <f t="shared" si="24"/>
        <v>31</v>
      </c>
      <c r="B572" t="s">
        <v>6633</v>
      </c>
      <c r="C572" t="str">
        <f>"4270"</f>
        <v>4270</v>
      </c>
      <c r="D572" t="s">
        <v>6868</v>
      </c>
      <c r="F572" t="s">
        <v>54</v>
      </c>
      <c r="G572" t="s">
        <v>653</v>
      </c>
      <c r="H572" t="s">
        <v>6869</v>
      </c>
      <c r="I572" t="s">
        <v>57</v>
      </c>
      <c r="J572" s="2" t="s">
        <v>6870</v>
      </c>
      <c r="K572" t="s">
        <v>6871</v>
      </c>
      <c r="L572" t="s">
        <v>60</v>
      </c>
      <c r="M572" t="s">
        <v>6872</v>
      </c>
      <c r="N572" t="s">
        <v>62</v>
      </c>
      <c r="O572" t="str">
        <f>"07508"</f>
        <v>07508</v>
      </c>
      <c r="P572" t="s">
        <v>6871</v>
      </c>
      <c r="S572" t="s">
        <v>6872</v>
      </c>
      <c r="T572" t="s">
        <v>62</v>
      </c>
      <c r="U572" t="str">
        <f>"07508"</f>
        <v>07508</v>
      </c>
      <c r="W572" t="s">
        <v>6873</v>
      </c>
      <c r="X572" t="s">
        <v>77</v>
      </c>
      <c r="Y572" t="s">
        <v>1030</v>
      </c>
      <c r="Z572" t="s">
        <v>5979</v>
      </c>
      <c r="AA572" t="s">
        <v>135</v>
      </c>
      <c r="AB572" t="s">
        <v>54</v>
      </c>
      <c r="AC572" t="s">
        <v>553</v>
      </c>
      <c r="AD572" t="s">
        <v>6874</v>
      </c>
      <c r="AE572" t="s">
        <v>98</v>
      </c>
      <c r="AF572" t="s">
        <v>70</v>
      </c>
      <c r="AG572" t="s">
        <v>6875</v>
      </c>
      <c r="AH572" t="s">
        <v>6876</v>
      </c>
      <c r="AI572" t="s">
        <v>73</v>
      </c>
      <c r="AJ572" t="s">
        <v>54</v>
      </c>
      <c r="AK572" t="s">
        <v>152</v>
      </c>
      <c r="AL572" t="s">
        <v>6877</v>
      </c>
      <c r="AM572" t="s">
        <v>76</v>
      </c>
      <c r="AN572" t="s">
        <v>77</v>
      </c>
      <c r="AO572" t="s">
        <v>6878</v>
      </c>
      <c r="AP572" t="s">
        <v>6879</v>
      </c>
      <c r="AQ572" t="s">
        <v>80</v>
      </c>
      <c r="AR572" t="s">
        <v>54</v>
      </c>
      <c r="AS572" t="s">
        <v>553</v>
      </c>
      <c r="AT572" t="s">
        <v>6880</v>
      </c>
      <c r="AU572" t="s">
        <v>83</v>
      </c>
      <c r="AV572" t="s">
        <v>6881</v>
      </c>
      <c r="AW572" t="str">
        <f>"3413470"</f>
        <v>3413470</v>
      </c>
    </row>
    <row r="573" spans="1:49">
      <c r="A573" t="str">
        <f t="shared" si="24"/>
        <v>31</v>
      </c>
      <c r="B573" t="s">
        <v>6633</v>
      </c>
      <c r="C573" t="str">
        <f>"4400"</f>
        <v>4400</v>
      </c>
      <c r="D573" t="s">
        <v>6882</v>
      </c>
      <c r="F573" t="s">
        <v>65</v>
      </c>
      <c r="G573" t="s">
        <v>663</v>
      </c>
      <c r="H573" t="s">
        <v>6883</v>
      </c>
      <c r="I573" t="s">
        <v>89</v>
      </c>
      <c r="J573" s="2" t="s">
        <v>6884</v>
      </c>
      <c r="K573" t="s">
        <v>6885</v>
      </c>
      <c r="L573" t="s">
        <v>60</v>
      </c>
      <c r="M573" t="s">
        <v>6886</v>
      </c>
      <c r="N573" t="s">
        <v>62</v>
      </c>
      <c r="O573" t="str">
        <f>"07456"</f>
        <v>07456</v>
      </c>
      <c r="P573" t="s">
        <v>6885</v>
      </c>
      <c r="S573" t="s">
        <v>6886</v>
      </c>
      <c r="T573" t="s">
        <v>62</v>
      </c>
      <c r="U573" t="str">
        <f>"07456"</f>
        <v>07456</v>
      </c>
      <c r="W573" t="s">
        <v>6887</v>
      </c>
      <c r="X573" t="s">
        <v>54</v>
      </c>
      <c r="Y573" t="s">
        <v>928</v>
      </c>
      <c r="Z573" t="s">
        <v>6888</v>
      </c>
      <c r="AA573" t="s">
        <v>112</v>
      </c>
      <c r="AB573" t="s">
        <v>77</v>
      </c>
      <c r="AC573" t="s">
        <v>534</v>
      </c>
      <c r="AD573" t="s">
        <v>6889</v>
      </c>
      <c r="AE573" t="s">
        <v>98</v>
      </c>
      <c r="AF573" t="s">
        <v>77</v>
      </c>
      <c r="AG573" t="s">
        <v>1418</v>
      </c>
      <c r="AH573" t="s">
        <v>6890</v>
      </c>
      <c r="AI573" t="s">
        <v>73</v>
      </c>
      <c r="AJ573" t="s">
        <v>77</v>
      </c>
      <c r="AK573" t="s">
        <v>1418</v>
      </c>
      <c r="AL573" t="s">
        <v>6890</v>
      </c>
      <c r="AM573" t="s">
        <v>76</v>
      </c>
      <c r="AN573" t="s">
        <v>77</v>
      </c>
      <c r="AO573" t="s">
        <v>4239</v>
      </c>
      <c r="AP573" t="s">
        <v>6891</v>
      </c>
      <c r="AQ573" t="s">
        <v>80</v>
      </c>
      <c r="AR573" t="s">
        <v>65</v>
      </c>
      <c r="AS573" t="s">
        <v>663</v>
      </c>
      <c r="AT573" t="s">
        <v>6883</v>
      </c>
      <c r="AU573" t="s">
        <v>83</v>
      </c>
      <c r="AV573" t="s">
        <v>6892</v>
      </c>
      <c r="AW573" t="str">
        <f>"3413860"</f>
        <v>3413860</v>
      </c>
    </row>
    <row r="574" spans="1:49">
      <c r="A574" t="str">
        <f t="shared" si="24"/>
        <v>31</v>
      </c>
      <c r="B574" t="s">
        <v>6633</v>
      </c>
      <c r="C574" t="str">
        <f>"5200"</f>
        <v>5200</v>
      </c>
      <c r="D574" t="s">
        <v>6893</v>
      </c>
      <c r="G574" t="s">
        <v>233</v>
      </c>
      <c r="H574" t="s">
        <v>6894</v>
      </c>
      <c r="I574" t="s">
        <v>57</v>
      </c>
      <c r="J574" s="2" t="s">
        <v>6895</v>
      </c>
      <c r="K574" t="s">
        <v>6896</v>
      </c>
      <c r="L574" t="s">
        <v>60</v>
      </c>
      <c r="M574" t="s">
        <v>6897</v>
      </c>
      <c r="N574" t="s">
        <v>62</v>
      </c>
      <c r="O574" t="str">
        <f>"07512"</f>
        <v>07512</v>
      </c>
      <c r="P574" t="s">
        <v>6896</v>
      </c>
      <c r="S574" t="s">
        <v>6897</v>
      </c>
      <c r="T574" t="s">
        <v>62</v>
      </c>
      <c r="U574" t="str">
        <f>"07512"</f>
        <v>07512</v>
      </c>
      <c r="W574" t="s">
        <v>6898</v>
      </c>
      <c r="Y574" t="s">
        <v>687</v>
      </c>
      <c r="Z574" t="s">
        <v>6899</v>
      </c>
      <c r="AA574" t="s">
        <v>135</v>
      </c>
      <c r="AC574" t="s">
        <v>71</v>
      </c>
      <c r="AD574" t="s">
        <v>6900</v>
      </c>
      <c r="AE574" t="s">
        <v>98</v>
      </c>
      <c r="AG574" t="s">
        <v>233</v>
      </c>
      <c r="AH574" t="s">
        <v>6894</v>
      </c>
      <c r="AI574" t="s">
        <v>73</v>
      </c>
      <c r="AK574" t="s">
        <v>178</v>
      </c>
      <c r="AL574" t="s">
        <v>6901</v>
      </c>
      <c r="AM574" t="s">
        <v>76</v>
      </c>
      <c r="AO574" t="s">
        <v>6902</v>
      </c>
      <c r="AP574" t="s">
        <v>6903</v>
      </c>
      <c r="AQ574" t="s">
        <v>80</v>
      </c>
      <c r="AS574" t="s">
        <v>71</v>
      </c>
      <c r="AT574" t="s">
        <v>6900</v>
      </c>
      <c r="AU574" t="s">
        <v>83</v>
      </c>
      <c r="AV574" t="s">
        <v>6904</v>
      </c>
      <c r="AW574" t="str">
        <f>"3416260"</f>
        <v>3416260</v>
      </c>
    </row>
    <row r="575" spans="1:49">
      <c r="A575" t="str">
        <f t="shared" si="24"/>
        <v>31</v>
      </c>
      <c r="B575" t="s">
        <v>6633</v>
      </c>
      <c r="C575" t="str">
        <f>"5440"</f>
        <v>5440</v>
      </c>
      <c r="D575" t="s">
        <v>6905</v>
      </c>
      <c r="F575" t="s">
        <v>77</v>
      </c>
      <c r="G575" t="s">
        <v>873</v>
      </c>
      <c r="H575" t="s">
        <v>151</v>
      </c>
      <c r="I575" t="s">
        <v>408</v>
      </c>
      <c r="J575" s="2" t="s">
        <v>6906</v>
      </c>
      <c r="K575" t="s">
        <v>6907</v>
      </c>
      <c r="L575" t="s">
        <v>60</v>
      </c>
      <c r="M575" t="s">
        <v>6908</v>
      </c>
      <c r="N575" t="s">
        <v>62</v>
      </c>
      <c r="O575" t="s">
        <v>6909</v>
      </c>
      <c r="P575" t="s">
        <v>6907</v>
      </c>
      <c r="S575" t="s">
        <v>6908</v>
      </c>
      <c r="T575" t="s">
        <v>62</v>
      </c>
      <c r="U575" t="str">
        <f>"07420"</f>
        <v>07420</v>
      </c>
      <c r="V575" t="str">
        <f>"1322"</f>
        <v>1322</v>
      </c>
      <c r="W575" t="s">
        <v>6910</v>
      </c>
      <c r="X575" t="s">
        <v>54</v>
      </c>
      <c r="Y575" t="s">
        <v>1837</v>
      </c>
      <c r="Z575" t="s">
        <v>6911</v>
      </c>
      <c r="AA575" t="s">
        <v>135</v>
      </c>
      <c r="AB575" t="s">
        <v>54</v>
      </c>
      <c r="AC575" t="s">
        <v>6912</v>
      </c>
      <c r="AD575" t="s">
        <v>6913</v>
      </c>
      <c r="AE575" t="s">
        <v>385</v>
      </c>
      <c r="AF575" t="s">
        <v>54</v>
      </c>
      <c r="AG575" t="s">
        <v>5806</v>
      </c>
      <c r="AH575" t="s">
        <v>6914</v>
      </c>
      <c r="AI575" t="s">
        <v>73</v>
      </c>
      <c r="AJ575" t="s">
        <v>54</v>
      </c>
      <c r="AK575" t="s">
        <v>262</v>
      </c>
      <c r="AL575" t="s">
        <v>6915</v>
      </c>
      <c r="AM575" t="s">
        <v>76</v>
      </c>
      <c r="AN575" t="s">
        <v>77</v>
      </c>
      <c r="AO575" t="s">
        <v>6916</v>
      </c>
      <c r="AP575" t="s">
        <v>6917</v>
      </c>
      <c r="AQ575" t="s">
        <v>80</v>
      </c>
      <c r="AR575" t="s">
        <v>77</v>
      </c>
      <c r="AS575" t="s">
        <v>1012</v>
      </c>
      <c r="AT575" t="s">
        <v>6918</v>
      </c>
      <c r="AU575" t="s">
        <v>83</v>
      </c>
      <c r="AV575" t="s">
        <v>6919</v>
      </c>
      <c r="AW575" t="str">
        <f>"3416950"</f>
        <v>3416950</v>
      </c>
    </row>
    <row r="576" spans="1:49">
      <c r="A576" t="str">
        <f t="shared" si="24"/>
        <v>31</v>
      </c>
      <c r="B576" t="s">
        <v>6633</v>
      </c>
      <c r="C576" t="str">
        <f>"5570"</f>
        <v>5570</v>
      </c>
      <c r="D576" t="s">
        <v>6920</v>
      </c>
      <c r="F576" t="s">
        <v>65</v>
      </c>
      <c r="G576" t="s">
        <v>391</v>
      </c>
      <c r="H576" t="s">
        <v>6921</v>
      </c>
      <c r="I576" t="s">
        <v>89</v>
      </c>
      <c r="J576" s="2" t="s">
        <v>6922</v>
      </c>
      <c r="K576" t="s">
        <v>6923</v>
      </c>
      <c r="L576" t="s">
        <v>60</v>
      </c>
      <c r="M576" t="s">
        <v>6924</v>
      </c>
      <c r="N576" t="s">
        <v>62</v>
      </c>
      <c r="O576" t="str">
        <f>"07470"</f>
        <v>07470</v>
      </c>
      <c r="P576" t="s">
        <v>6923</v>
      </c>
      <c r="S576" t="s">
        <v>6924</v>
      </c>
      <c r="T576" t="s">
        <v>62</v>
      </c>
      <c r="U576" t="str">
        <f>"07470"</f>
        <v>07470</v>
      </c>
      <c r="W576" t="s">
        <v>6925</v>
      </c>
      <c r="X576" t="s">
        <v>77</v>
      </c>
      <c r="Y576" t="s">
        <v>6926</v>
      </c>
      <c r="Z576" t="s">
        <v>6927</v>
      </c>
      <c r="AA576" t="s">
        <v>135</v>
      </c>
      <c r="AB576" t="s">
        <v>70</v>
      </c>
      <c r="AC576" t="s">
        <v>2458</v>
      </c>
      <c r="AD576" t="s">
        <v>6928</v>
      </c>
      <c r="AE576" t="s">
        <v>98</v>
      </c>
      <c r="AF576" t="s">
        <v>77</v>
      </c>
      <c r="AG576" t="s">
        <v>6929</v>
      </c>
      <c r="AH576" t="s">
        <v>6930</v>
      </c>
      <c r="AI576" t="s">
        <v>73</v>
      </c>
      <c r="AJ576" t="s">
        <v>77</v>
      </c>
      <c r="AK576" t="s">
        <v>6929</v>
      </c>
      <c r="AL576" t="s">
        <v>6930</v>
      </c>
      <c r="AM576" t="s">
        <v>76</v>
      </c>
      <c r="AN576" t="s">
        <v>77</v>
      </c>
      <c r="AO576" t="s">
        <v>6931</v>
      </c>
      <c r="AP576" t="s">
        <v>6932</v>
      </c>
      <c r="AQ576" t="s">
        <v>80</v>
      </c>
      <c r="AR576" t="s">
        <v>77</v>
      </c>
      <c r="AS576" t="s">
        <v>873</v>
      </c>
      <c r="AT576" t="s">
        <v>6933</v>
      </c>
      <c r="AU576" t="s">
        <v>83</v>
      </c>
      <c r="AV576" t="s">
        <v>6934</v>
      </c>
      <c r="AW576" t="str">
        <f>"3417280"</f>
        <v>3417280</v>
      </c>
    </row>
    <row r="577" spans="1:49">
      <c r="A577" t="str">
        <f t="shared" si="24"/>
        <v>31</v>
      </c>
      <c r="B577" t="s">
        <v>6633</v>
      </c>
      <c r="C577" t="str">
        <f>"5650"</f>
        <v>5650</v>
      </c>
      <c r="D577" t="s">
        <v>6935</v>
      </c>
      <c r="F577" t="s">
        <v>65</v>
      </c>
      <c r="G577" t="s">
        <v>5134</v>
      </c>
      <c r="H577" t="s">
        <v>6936</v>
      </c>
      <c r="I577" t="s">
        <v>89</v>
      </c>
      <c r="J577" s="2" t="s">
        <v>6937</v>
      </c>
      <c r="K577" t="s">
        <v>6938</v>
      </c>
      <c r="L577" t="s">
        <v>60</v>
      </c>
      <c r="M577" t="s">
        <v>6939</v>
      </c>
      <c r="N577" t="s">
        <v>62</v>
      </c>
      <c r="O577" t="str">
        <f>"07480"</f>
        <v>07480</v>
      </c>
      <c r="P577" t="s">
        <v>6938</v>
      </c>
      <c r="S577" t="s">
        <v>6939</v>
      </c>
      <c r="T577" t="s">
        <v>62</v>
      </c>
      <c r="U577" t="str">
        <f>"07480"</f>
        <v>07480</v>
      </c>
      <c r="W577" t="s">
        <v>6940</v>
      </c>
      <c r="X577" t="s">
        <v>70</v>
      </c>
      <c r="Y577" t="s">
        <v>353</v>
      </c>
      <c r="Z577" t="s">
        <v>5505</v>
      </c>
      <c r="AA577" t="s">
        <v>112</v>
      </c>
      <c r="AB577" t="s">
        <v>65</v>
      </c>
      <c r="AC577" t="s">
        <v>1684</v>
      </c>
      <c r="AD577" t="s">
        <v>6941</v>
      </c>
      <c r="AE577" t="s">
        <v>98</v>
      </c>
      <c r="AF577" t="s">
        <v>77</v>
      </c>
      <c r="AG577" t="s">
        <v>844</v>
      </c>
      <c r="AH577" t="s">
        <v>6942</v>
      </c>
      <c r="AI577" t="s">
        <v>73</v>
      </c>
      <c r="AJ577" t="s">
        <v>65</v>
      </c>
      <c r="AK577" t="s">
        <v>3427</v>
      </c>
      <c r="AL577" t="s">
        <v>6943</v>
      </c>
      <c r="AM577" t="s">
        <v>76</v>
      </c>
      <c r="AN577" t="s">
        <v>77</v>
      </c>
      <c r="AO577" t="s">
        <v>873</v>
      </c>
      <c r="AP577" t="s">
        <v>6017</v>
      </c>
      <c r="AQ577" t="s">
        <v>80</v>
      </c>
      <c r="AR577" t="s">
        <v>77</v>
      </c>
      <c r="AS577" t="s">
        <v>667</v>
      </c>
      <c r="AT577" t="s">
        <v>5008</v>
      </c>
      <c r="AU577" t="s">
        <v>83</v>
      </c>
      <c r="AV577" t="s">
        <v>6944</v>
      </c>
      <c r="AW577" t="str">
        <f>"3417520"</f>
        <v>3417520</v>
      </c>
    </row>
    <row r="578" spans="1:49">
      <c r="A578" t="str">
        <f t="shared" si="24"/>
        <v>31</v>
      </c>
      <c r="B578" t="s">
        <v>6633</v>
      </c>
      <c r="C578" t="str">
        <f>"5690"</f>
        <v>5690</v>
      </c>
      <c r="D578" t="s">
        <v>6945</v>
      </c>
      <c r="F578" t="s">
        <v>65</v>
      </c>
      <c r="G578" t="s">
        <v>291</v>
      </c>
      <c r="H578" t="s">
        <v>6946</v>
      </c>
      <c r="I578" t="s">
        <v>89</v>
      </c>
      <c r="J578" s="2" t="s">
        <v>6947</v>
      </c>
      <c r="K578" t="s">
        <v>6948</v>
      </c>
      <c r="L578" t="s">
        <v>60</v>
      </c>
      <c r="M578" t="s">
        <v>6949</v>
      </c>
      <c r="N578" t="s">
        <v>62</v>
      </c>
      <c r="O578" t="str">
        <f>"07424"</f>
        <v>07424</v>
      </c>
      <c r="P578" t="s">
        <v>6948</v>
      </c>
      <c r="S578" t="s">
        <v>6949</v>
      </c>
      <c r="T578" t="s">
        <v>62</v>
      </c>
      <c r="U578" t="str">
        <f>"07424"</f>
        <v>07424</v>
      </c>
      <c r="W578" t="s">
        <v>6950</v>
      </c>
      <c r="X578" t="s">
        <v>77</v>
      </c>
      <c r="Y578" t="s">
        <v>555</v>
      </c>
      <c r="Z578" t="s">
        <v>1339</v>
      </c>
      <c r="AA578" t="s">
        <v>135</v>
      </c>
      <c r="AB578" t="s">
        <v>54</v>
      </c>
      <c r="AC578" t="s">
        <v>541</v>
      </c>
      <c r="AD578" t="s">
        <v>6951</v>
      </c>
      <c r="AE578" t="s">
        <v>98</v>
      </c>
      <c r="AF578" t="s">
        <v>54</v>
      </c>
      <c r="AG578" t="s">
        <v>541</v>
      </c>
      <c r="AH578" t="s">
        <v>6951</v>
      </c>
      <c r="AI578" t="s">
        <v>73</v>
      </c>
      <c r="AJ578" t="s">
        <v>54</v>
      </c>
      <c r="AK578" t="s">
        <v>513</v>
      </c>
      <c r="AL578" t="s">
        <v>6952</v>
      </c>
      <c r="AM578" t="s">
        <v>76</v>
      </c>
      <c r="AN578" t="s">
        <v>77</v>
      </c>
      <c r="AO578" t="s">
        <v>206</v>
      </c>
      <c r="AP578" t="s">
        <v>6953</v>
      </c>
      <c r="AQ578" t="s">
        <v>80</v>
      </c>
      <c r="AR578" t="s">
        <v>54</v>
      </c>
      <c r="AS578" t="s">
        <v>150</v>
      </c>
      <c r="AT578" t="s">
        <v>6954</v>
      </c>
      <c r="AU578" t="s">
        <v>83</v>
      </c>
      <c r="AV578" t="s">
        <v>6955</v>
      </c>
      <c r="AW578" t="str">
        <f>"3417640"</f>
        <v>3417640</v>
      </c>
    </row>
    <row r="579" spans="1:49">
      <c r="A579" t="str">
        <f>"33"</f>
        <v>33</v>
      </c>
      <c r="B579" t="s">
        <v>6956</v>
      </c>
      <c r="C579" t="str">
        <f>"0060"</f>
        <v>0060</v>
      </c>
      <c r="D579" t="s">
        <v>6957</v>
      </c>
      <c r="F579" t="s">
        <v>77</v>
      </c>
      <c r="G579" t="s">
        <v>534</v>
      </c>
      <c r="H579" t="s">
        <v>6958</v>
      </c>
      <c r="I579" t="s">
        <v>408</v>
      </c>
      <c r="J579" s="2" t="s">
        <v>6959</v>
      </c>
      <c r="K579" t="s">
        <v>6960</v>
      </c>
      <c r="L579" t="s">
        <v>60</v>
      </c>
      <c r="M579" t="s">
        <v>6961</v>
      </c>
      <c r="N579" t="s">
        <v>62</v>
      </c>
      <c r="O579" t="str">
        <f>"08001"</f>
        <v>08001</v>
      </c>
      <c r="P579" t="s">
        <v>6962</v>
      </c>
      <c r="S579" t="s">
        <v>6961</v>
      </c>
      <c r="T579" t="s">
        <v>62</v>
      </c>
      <c r="U579" t="str">
        <f>"08001"</f>
        <v>08001</v>
      </c>
      <c r="W579" t="s">
        <v>6963</v>
      </c>
      <c r="X579" t="s">
        <v>54</v>
      </c>
      <c r="Y579" t="s">
        <v>1272</v>
      </c>
      <c r="Z579" t="s">
        <v>6964</v>
      </c>
      <c r="AA579" t="s">
        <v>135</v>
      </c>
      <c r="AB579" t="s">
        <v>77</v>
      </c>
      <c r="AC579" t="s">
        <v>534</v>
      </c>
      <c r="AD579" t="s">
        <v>6958</v>
      </c>
      <c r="AE579" t="s">
        <v>181</v>
      </c>
      <c r="AF579" t="s">
        <v>54</v>
      </c>
      <c r="AG579" t="s">
        <v>5490</v>
      </c>
      <c r="AH579" t="s">
        <v>6965</v>
      </c>
      <c r="AI579" t="s">
        <v>73</v>
      </c>
      <c r="AJ579" t="s">
        <v>70</v>
      </c>
      <c r="AK579" t="s">
        <v>5490</v>
      </c>
      <c r="AL579" t="s">
        <v>6965</v>
      </c>
      <c r="AM579" t="s">
        <v>76</v>
      </c>
      <c r="AN579" t="s">
        <v>70</v>
      </c>
      <c r="AO579" t="s">
        <v>6966</v>
      </c>
      <c r="AP579" t="s">
        <v>6967</v>
      </c>
      <c r="AQ579" t="s">
        <v>80</v>
      </c>
      <c r="AR579" t="s">
        <v>77</v>
      </c>
      <c r="AS579" t="s">
        <v>534</v>
      </c>
      <c r="AT579" t="s">
        <v>6958</v>
      </c>
      <c r="AU579" t="s">
        <v>83</v>
      </c>
      <c r="AV579" t="s">
        <v>6968</v>
      </c>
      <c r="AW579" t="str">
        <f>"3400810"</f>
        <v>3400810</v>
      </c>
    </row>
    <row r="580" spans="1:49">
      <c r="A580" t="str">
        <f>"80"</f>
        <v>80</v>
      </c>
      <c r="B580" t="s">
        <v>6956</v>
      </c>
      <c r="C580" t="str">
        <f>"7897"</f>
        <v>7897</v>
      </c>
      <c r="D580" t="s">
        <v>6969</v>
      </c>
      <c r="E580" t="str">
        <f>"923"</f>
        <v>923</v>
      </c>
      <c r="F580" t="s">
        <v>65</v>
      </c>
      <c r="G580" t="s">
        <v>6443</v>
      </c>
      <c r="H580" t="s">
        <v>319</v>
      </c>
      <c r="I580" t="s">
        <v>408</v>
      </c>
      <c r="J580" s="2" t="s">
        <v>6970</v>
      </c>
      <c r="K580" t="s">
        <v>6971</v>
      </c>
      <c r="L580" t="s">
        <v>60</v>
      </c>
      <c r="M580" t="s">
        <v>6972</v>
      </c>
      <c r="N580" t="s">
        <v>62</v>
      </c>
      <c r="O580" t="str">
        <f>"08318"</f>
        <v>08318</v>
      </c>
      <c r="P580" t="s">
        <v>6971</v>
      </c>
      <c r="Q580" t="s">
        <v>6973</v>
      </c>
      <c r="S580" t="s">
        <v>6972</v>
      </c>
      <c r="T580" t="s">
        <v>62</v>
      </c>
      <c r="U580" t="str">
        <f>"08318"</f>
        <v>08318</v>
      </c>
      <c r="W580">
        <v>856358472</v>
      </c>
      <c r="Y580" t="s">
        <v>2318</v>
      </c>
      <c r="Z580" t="s">
        <v>2319</v>
      </c>
      <c r="AA580" t="s">
        <v>68</v>
      </c>
      <c r="AC580" t="s">
        <v>716</v>
      </c>
      <c r="AD580" t="s">
        <v>2320</v>
      </c>
      <c r="AE580" t="s">
        <v>181</v>
      </c>
      <c r="AG580" t="s">
        <v>716</v>
      </c>
      <c r="AH580" t="s">
        <v>6974</v>
      </c>
      <c r="AI580" t="s">
        <v>73</v>
      </c>
      <c r="AK580" t="s">
        <v>6443</v>
      </c>
      <c r="AL580" t="s">
        <v>319</v>
      </c>
      <c r="AM580" t="s">
        <v>76</v>
      </c>
      <c r="AV580" t="s">
        <v>6975</v>
      </c>
      <c r="AW580" t="str">
        <f>"0"</f>
        <v>0</v>
      </c>
    </row>
    <row r="581" spans="1:49">
      <c r="A581" t="str">
        <f t="shared" ref="A581:A593" si="25">"33"</f>
        <v>33</v>
      </c>
      <c r="B581" t="s">
        <v>6956</v>
      </c>
      <c r="C581" t="str">
        <f>"1350"</f>
        <v>1350</v>
      </c>
      <c r="D581" t="s">
        <v>6976</v>
      </c>
      <c r="F581" t="s">
        <v>54</v>
      </c>
      <c r="G581" t="s">
        <v>1885</v>
      </c>
      <c r="H581" t="s">
        <v>6977</v>
      </c>
      <c r="I581" t="s">
        <v>57</v>
      </c>
      <c r="J581" s="2" t="s">
        <v>6978</v>
      </c>
      <c r="K581" t="s">
        <v>6979</v>
      </c>
      <c r="L581" t="s">
        <v>60</v>
      </c>
      <c r="M581" t="s">
        <v>6980</v>
      </c>
      <c r="N581" t="s">
        <v>62</v>
      </c>
      <c r="O581" t="str">
        <f>"08079"</f>
        <v>08079</v>
      </c>
      <c r="P581" t="s">
        <v>6979</v>
      </c>
      <c r="S581" t="s">
        <v>6980</v>
      </c>
      <c r="T581" t="s">
        <v>62</v>
      </c>
      <c r="U581" t="str">
        <f>"08079"</f>
        <v>08079</v>
      </c>
      <c r="W581" t="s">
        <v>6981</v>
      </c>
      <c r="X581" t="s">
        <v>54</v>
      </c>
      <c r="Y581" t="s">
        <v>71</v>
      </c>
      <c r="Z581" t="s">
        <v>6982</v>
      </c>
      <c r="AA581" t="s">
        <v>135</v>
      </c>
      <c r="AB581" t="s">
        <v>77</v>
      </c>
      <c r="AC581" t="s">
        <v>2929</v>
      </c>
      <c r="AD581" t="s">
        <v>2930</v>
      </c>
      <c r="AE581" t="s">
        <v>181</v>
      </c>
      <c r="AF581" t="s">
        <v>54</v>
      </c>
      <c r="AG581" t="s">
        <v>6983</v>
      </c>
      <c r="AH581" t="s">
        <v>6984</v>
      </c>
      <c r="AI581" t="s">
        <v>73</v>
      </c>
      <c r="AJ581" t="s">
        <v>54</v>
      </c>
      <c r="AK581" t="s">
        <v>6983</v>
      </c>
      <c r="AL581" t="s">
        <v>6984</v>
      </c>
      <c r="AM581" t="s">
        <v>76</v>
      </c>
      <c r="AN581" t="s">
        <v>54</v>
      </c>
      <c r="AO581" t="s">
        <v>6983</v>
      </c>
      <c r="AP581" t="s">
        <v>6984</v>
      </c>
      <c r="AQ581" t="s">
        <v>80</v>
      </c>
      <c r="AR581" t="s">
        <v>54</v>
      </c>
      <c r="AS581" t="s">
        <v>1885</v>
      </c>
      <c r="AT581" t="s">
        <v>6977</v>
      </c>
      <c r="AU581" t="s">
        <v>83</v>
      </c>
      <c r="AV581" t="s">
        <v>6985</v>
      </c>
      <c r="AW581" t="str">
        <f>"3404680"</f>
        <v>3404680</v>
      </c>
    </row>
    <row r="582" spans="1:49">
      <c r="A582" t="str">
        <f t="shared" si="25"/>
        <v>33</v>
      </c>
      <c r="B582" t="s">
        <v>6956</v>
      </c>
      <c r="C582" t="str">
        <f>"2950"</f>
        <v>2950</v>
      </c>
      <c r="D582" t="s">
        <v>6986</v>
      </c>
      <c r="F582" t="s">
        <v>70</v>
      </c>
      <c r="G582" t="s">
        <v>1246</v>
      </c>
      <c r="H582" t="s">
        <v>510</v>
      </c>
      <c r="I582" t="s">
        <v>89</v>
      </c>
      <c r="J582" s="2" t="s">
        <v>6987</v>
      </c>
      <c r="K582" t="s">
        <v>6988</v>
      </c>
      <c r="L582" t="s">
        <v>60</v>
      </c>
      <c r="M582" t="s">
        <v>6980</v>
      </c>
      <c r="N582" t="s">
        <v>62</v>
      </c>
      <c r="O582" t="str">
        <f>"08079"</f>
        <v>08079</v>
      </c>
      <c r="P582" t="s">
        <v>6988</v>
      </c>
      <c r="S582" t="s">
        <v>6980</v>
      </c>
      <c r="T582" t="s">
        <v>62</v>
      </c>
      <c r="U582" t="str">
        <f>"08079"</f>
        <v>08079</v>
      </c>
      <c r="W582" t="s">
        <v>6989</v>
      </c>
      <c r="X582" t="s">
        <v>54</v>
      </c>
      <c r="Y582" t="s">
        <v>429</v>
      </c>
      <c r="Z582" t="s">
        <v>6990</v>
      </c>
      <c r="AA582" t="s">
        <v>68</v>
      </c>
      <c r="AB582" t="s">
        <v>77</v>
      </c>
      <c r="AC582" t="s">
        <v>1953</v>
      </c>
      <c r="AD582" t="s">
        <v>2677</v>
      </c>
      <c r="AE582" t="s">
        <v>415</v>
      </c>
      <c r="AF582" t="s">
        <v>54</v>
      </c>
      <c r="AG582" t="s">
        <v>6991</v>
      </c>
      <c r="AH582" t="s">
        <v>6992</v>
      </c>
      <c r="AI582" t="s">
        <v>73</v>
      </c>
      <c r="AJ582" t="s">
        <v>70</v>
      </c>
      <c r="AK582" t="s">
        <v>1246</v>
      </c>
      <c r="AL582" t="s">
        <v>510</v>
      </c>
      <c r="AM582" t="s">
        <v>76</v>
      </c>
      <c r="AN582" t="s">
        <v>77</v>
      </c>
      <c r="AO582" t="s">
        <v>287</v>
      </c>
      <c r="AP582" t="s">
        <v>6993</v>
      </c>
      <c r="AQ582" t="s">
        <v>80</v>
      </c>
      <c r="AR582" t="s">
        <v>70</v>
      </c>
      <c r="AS582" t="s">
        <v>1246</v>
      </c>
      <c r="AT582" t="s">
        <v>510</v>
      </c>
      <c r="AU582" t="s">
        <v>83</v>
      </c>
      <c r="AV582" t="s">
        <v>6994</v>
      </c>
      <c r="AW582" t="str">
        <f>"3409480"</f>
        <v>3409480</v>
      </c>
    </row>
    <row r="583" spans="1:49">
      <c r="A583" t="str">
        <f t="shared" si="25"/>
        <v>33</v>
      </c>
      <c r="B583" t="s">
        <v>6956</v>
      </c>
      <c r="C583" t="str">
        <f>"3860"</f>
        <v>3860</v>
      </c>
      <c r="D583" t="s">
        <v>6995</v>
      </c>
      <c r="F583" t="s">
        <v>70</v>
      </c>
      <c r="G583" t="s">
        <v>5408</v>
      </c>
      <c r="H583" t="s">
        <v>824</v>
      </c>
      <c r="I583" t="s">
        <v>89</v>
      </c>
      <c r="J583" s="2" t="s">
        <v>6996</v>
      </c>
      <c r="K583" t="s">
        <v>6997</v>
      </c>
      <c r="L583" t="s">
        <v>60</v>
      </c>
      <c r="M583" t="s">
        <v>6998</v>
      </c>
      <c r="N583" t="s">
        <v>62</v>
      </c>
      <c r="O583" t="str">
        <f>"08067"</f>
        <v>08067</v>
      </c>
      <c r="P583" t="s">
        <v>6999</v>
      </c>
      <c r="S583" t="s">
        <v>7000</v>
      </c>
      <c r="T583" t="s">
        <v>62</v>
      </c>
      <c r="U583" t="str">
        <f>"08067"</f>
        <v>08067</v>
      </c>
      <c r="W583" t="s">
        <v>7001</v>
      </c>
      <c r="X583" t="s">
        <v>54</v>
      </c>
      <c r="Y583" t="s">
        <v>113</v>
      </c>
      <c r="Z583" t="s">
        <v>7002</v>
      </c>
      <c r="AA583" t="s">
        <v>112</v>
      </c>
      <c r="AB583" t="s">
        <v>77</v>
      </c>
      <c r="AC583" t="s">
        <v>2929</v>
      </c>
      <c r="AD583" t="s">
        <v>2930</v>
      </c>
      <c r="AE583" t="s">
        <v>69</v>
      </c>
      <c r="AF583" t="s">
        <v>54</v>
      </c>
      <c r="AG583" t="s">
        <v>184</v>
      </c>
      <c r="AH583" t="s">
        <v>7003</v>
      </c>
      <c r="AI583" t="s">
        <v>73</v>
      </c>
      <c r="AJ583" t="s">
        <v>54</v>
      </c>
      <c r="AK583" t="s">
        <v>184</v>
      </c>
      <c r="AL583" t="s">
        <v>7003</v>
      </c>
      <c r="AM583" t="s">
        <v>76</v>
      </c>
      <c r="AR583" t="s">
        <v>70</v>
      </c>
      <c r="AS583" t="s">
        <v>5408</v>
      </c>
      <c r="AT583" t="s">
        <v>824</v>
      </c>
      <c r="AU583" t="s">
        <v>83</v>
      </c>
      <c r="AV583" t="s">
        <v>7004</v>
      </c>
      <c r="AW583" t="str">
        <f>"3412210"</f>
        <v>3412210</v>
      </c>
    </row>
    <row r="584" spans="1:49">
      <c r="A584" t="str">
        <f t="shared" si="25"/>
        <v>33</v>
      </c>
      <c r="B584" t="s">
        <v>6956</v>
      </c>
      <c r="C584" t="str">
        <f>"4070"</f>
        <v>4070</v>
      </c>
      <c r="D584" t="s">
        <v>7005</v>
      </c>
      <c r="F584" t="s">
        <v>65</v>
      </c>
      <c r="G584" t="s">
        <v>7006</v>
      </c>
      <c r="H584" t="s">
        <v>7007</v>
      </c>
      <c r="I584" t="s">
        <v>57</v>
      </c>
      <c r="J584" s="2" t="s">
        <v>7008</v>
      </c>
      <c r="K584" t="s">
        <v>7009</v>
      </c>
      <c r="L584" t="s">
        <v>60</v>
      </c>
      <c r="M584" t="s">
        <v>7010</v>
      </c>
      <c r="N584" t="s">
        <v>62</v>
      </c>
      <c r="O584" t="str">
        <f>"08069"</f>
        <v>08069</v>
      </c>
      <c r="P584" t="s">
        <v>7009</v>
      </c>
      <c r="S584" t="s">
        <v>7010</v>
      </c>
      <c r="T584" t="s">
        <v>62</v>
      </c>
      <c r="U584" t="str">
        <f>"08069"</f>
        <v>08069</v>
      </c>
      <c r="W584" t="s">
        <v>7011</v>
      </c>
      <c r="X584" t="s">
        <v>77</v>
      </c>
      <c r="Y584" t="s">
        <v>287</v>
      </c>
      <c r="Z584" t="s">
        <v>7012</v>
      </c>
      <c r="AA584" t="s">
        <v>68</v>
      </c>
      <c r="AB584" t="s">
        <v>77</v>
      </c>
      <c r="AC584" t="s">
        <v>7013</v>
      </c>
      <c r="AD584" t="s">
        <v>4684</v>
      </c>
      <c r="AE584" t="s">
        <v>98</v>
      </c>
      <c r="AF584" t="s">
        <v>70</v>
      </c>
      <c r="AG584" t="s">
        <v>7014</v>
      </c>
      <c r="AH584" t="s">
        <v>2433</v>
      </c>
      <c r="AI584" t="s">
        <v>73</v>
      </c>
      <c r="AJ584" t="s">
        <v>65</v>
      </c>
      <c r="AK584" t="s">
        <v>120</v>
      </c>
      <c r="AL584" t="s">
        <v>7015</v>
      </c>
      <c r="AM584" t="s">
        <v>76</v>
      </c>
      <c r="AR584" t="s">
        <v>77</v>
      </c>
      <c r="AS584" t="s">
        <v>328</v>
      </c>
      <c r="AT584" t="s">
        <v>7016</v>
      </c>
      <c r="AU584" t="s">
        <v>83</v>
      </c>
      <c r="AV584" t="s">
        <v>7017</v>
      </c>
      <c r="AW584" t="str">
        <f>"3412840"</f>
        <v>3412840</v>
      </c>
    </row>
    <row r="585" spans="1:49">
      <c r="A585" t="str">
        <f t="shared" si="25"/>
        <v>33</v>
      </c>
      <c r="B585" t="s">
        <v>6956</v>
      </c>
      <c r="C585" t="str">
        <f>"4075"</f>
        <v>4075</v>
      </c>
      <c r="D585" t="s">
        <v>7018</v>
      </c>
      <c r="F585" t="s">
        <v>65</v>
      </c>
      <c r="G585" t="s">
        <v>120</v>
      </c>
      <c r="H585" t="s">
        <v>7019</v>
      </c>
      <c r="I585" t="s">
        <v>89</v>
      </c>
      <c r="J585" s="2" t="s">
        <v>7020</v>
      </c>
      <c r="K585" t="s">
        <v>7021</v>
      </c>
      <c r="L585" t="s">
        <v>60</v>
      </c>
      <c r="M585" t="s">
        <v>7022</v>
      </c>
      <c r="N585" t="s">
        <v>62</v>
      </c>
      <c r="O585" t="s">
        <v>7023</v>
      </c>
      <c r="P585" t="s">
        <v>7021</v>
      </c>
      <c r="S585" t="s">
        <v>7022</v>
      </c>
      <c r="T585" t="s">
        <v>62</v>
      </c>
      <c r="U585" t="str">
        <f>"08070"</f>
        <v>08070</v>
      </c>
      <c r="V585" t="str">
        <f>"2199"</f>
        <v>2199</v>
      </c>
      <c r="W585" t="s">
        <v>7024</v>
      </c>
      <c r="X585" t="s">
        <v>54</v>
      </c>
      <c r="Y585" t="s">
        <v>957</v>
      </c>
      <c r="Z585" t="s">
        <v>7025</v>
      </c>
      <c r="AA585" t="s">
        <v>135</v>
      </c>
      <c r="AB585" t="s">
        <v>54</v>
      </c>
      <c r="AC585" t="s">
        <v>1837</v>
      </c>
      <c r="AD585" t="s">
        <v>7026</v>
      </c>
      <c r="AE585" t="s">
        <v>69</v>
      </c>
      <c r="AF585" t="s">
        <v>77</v>
      </c>
      <c r="AG585" t="s">
        <v>4838</v>
      </c>
      <c r="AH585" t="s">
        <v>7027</v>
      </c>
      <c r="AI585" t="s">
        <v>73</v>
      </c>
      <c r="AJ585" t="s">
        <v>77</v>
      </c>
      <c r="AK585" t="s">
        <v>7028</v>
      </c>
      <c r="AL585" t="s">
        <v>319</v>
      </c>
      <c r="AM585" t="s">
        <v>76</v>
      </c>
      <c r="AN585" t="s">
        <v>77</v>
      </c>
      <c r="AO585" t="s">
        <v>190</v>
      </c>
      <c r="AP585" t="s">
        <v>7029</v>
      </c>
      <c r="AQ585" t="s">
        <v>80</v>
      </c>
      <c r="AR585" t="s">
        <v>77</v>
      </c>
      <c r="AS585" t="s">
        <v>965</v>
      </c>
      <c r="AT585" t="s">
        <v>7030</v>
      </c>
      <c r="AU585" t="s">
        <v>83</v>
      </c>
      <c r="AV585" t="s">
        <v>7031</v>
      </c>
      <c r="AW585" t="str">
        <f>"3409120"</f>
        <v>3409120</v>
      </c>
    </row>
    <row r="586" spans="1:49">
      <c r="A586" t="str">
        <f t="shared" si="25"/>
        <v>33</v>
      </c>
      <c r="B586" t="s">
        <v>6956</v>
      </c>
      <c r="C586" t="str">
        <f>"4150"</f>
        <v>4150</v>
      </c>
      <c r="D586" t="s">
        <v>7032</v>
      </c>
      <c r="F586" t="s">
        <v>77</v>
      </c>
      <c r="G586" t="s">
        <v>281</v>
      </c>
      <c r="H586" t="s">
        <v>3935</v>
      </c>
      <c r="I586" t="s">
        <v>89</v>
      </c>
      <c r="J586" s="2" t="s">
        <v>7033</v>
      </c>
      <c r="K586" t="s">
        <v>7034</v>
      </c>
      <c r="L586" t="s">
        <v>60</v>
      </c>
      <c r="M586" t="s">
        <v>7035</v>
      </c>
      <c r="N586" t="s">
        <v>62</v>
      </c>
      <c r="O586" t="str">
        <f>"08318"</f>
        <v>08318</v>
      </c>
      <c r="P586" t="s">
        <v>7034</v>
      </c>
      <c r="S586" t="s">
        <v>7035</v>
      </c>
      <c r="T586" t="s">
        <v>62</v>
      </c>
      <c r="U586" t="str">
        <f>"08318"</f>
        <v>08318</v>
      </c>
      <c r="W586" t="s">
        <v>7036</v>
      </c>
      <c r="X586" t="s">
        <v>77</v>
      </c>
      <c r="Y586" t="s">
        <v>1136</v>
      </c>
      <c r="Z586" t="s">
        <v>857</v>
      </c>
      <c r="AA586" t="s">
        <v>112</v>
      </c>
      <c r="AB586" t="s">
        <v>70</v>
      </c>
      <c r="AC586" t="s">
        <v>5408</v>
      </c>
      <c r="AD586" t="s">
        <v>7037</v>
      </c>
      <c r="AE586" t="s">
        <v>98</v>
      </c>
      <c r="AF586" t="s">
        <v>70</v>
      </c>
      <c r="AG586" t="s">
        <v>7038</v>
      </c>
      <c r="AH586" t="s">
        <v>7039</v>
      </c>
      <c r="AI586" t="s">
        <v>73</v>
      </c>
      <c r="AJ586" t="s">
        <v>54</v>
      </c>
      <c r="AK586" t="s">
        <v>7040</v>
      </c>
      <c r="AL586" t="s">
        <v>7041</v>
      </c>
      <c r="AM586" t="s">
        <v>76</v>
      </c>
      <c r="AN586" t="s">
        <v>77</v>
      </c>
      <c r="AO586" t="s">
        <v>418</v>
      </c>
      <c r="AP586" t="s">
        <v>7042</v>
      </c>
      <c r="AQ586" t="s">
        <v>80</v>
      </c>
      <c r="AR586" t="s">
        <v>77</v>
      </c>
      <c r="AS586" t="s">
        <v>1061</v>
      </c>
      <c r="AT586" t="s">
        <v>7043</v>
      </c>
      <c r="AU586" t="s">
        <v>83</v>
      </c>
      <c r="AV586" t="s">
        <v>7044</v>
      </c>
      <c r="AW586" t="str">
        <f>"3413110"</f>
        <v>3413110</v>
      </c>
    </row>
    <row r="587" spans="1:49">
      <c r="A587" t="str">
        <f t="shared" si="25"/>
        <v>33</v>
      </c>
      <c r="B587" t="s">
        <v>6956</v>
      </c>
      <c r="C587" t="str">
        <f>"4280"</f>
        <v>4280</v>
      </c>
      <c r="D587" t="s">
        <v>7045</v>
      </c>
      <c r="F587" t="s">
        <v>77</v>
      </c>
      <c r="G587" t="s">
        <v>1886</v>
      </c>
      <c r="H587" t="s">
        <v>1891</v>
      </c>
      <c r="I587" t="s">
        <v>89</v>
      </c>
      <c r="J587" s="2" t="s">
        <v>7046</v>
      </c>
      <c r="K587" t="s">
        <v>7047</v>
      </c>
      <c r="L587" t="s">
        <v>7048</v>
      </c>
      <c r="M587" t="s">
        <v>7049</v>
      </c>
      <c r="N587" t="s">
        <v>62</v>
      </c>
      <c r="O587" t="str">
        <f>"08072"</f>
        <v>08072</v>
      </c>
      <c r="P587" t="s">
        <v>7047</v>
      </c>
      <c r="Q587" t="s">
        <v>7050</v>
      </c>
      <c r="S587" t="s">
        <v>7049</v>
      </c>
      <c r="T587" t="s">
        <v>62</v>
      </c>
      <c r="U587" t="str">
        <f>"08072"</f>
        <v>08072</v>
      </c>
      <c r="W587" t="s">
        <v>7051</v>
      </c>
      <c r="X587" t="s">
        <v>54</v>
      </c>
      <c r="Y587" t="s">
        <v>429</v>
      </c>
      <c r="Z587" t="s">
        <v>6990</v>
      </c>
      <c r="AA587" t="s">
        <v>135</v>
      </c>
      <c r="AB587" t="s">
        <v>54</v>
      </c>
      <c r="AC587" t="s">
        <v>397</v>
      </c>
      <c r="AD587" t="s">
        <v>7052</v>
      </c>
      <c r="AE587" t="s">
        <v>433</v>
      </c>
      <c r="AF587" t="s">
        <v>54</v>
      </c>
      <c r="AG587" t="s">
        <v>7053</v>
      </c>
      <c r="AH587" t="s">
        <v>7054</v>
      </c>
      <c r="AI587" t="s">
        <v>73</v>
      </c>
      <c r="AJ587" t="s">
        <v>77</v>
      </c>
      <c r="AK587" t="s">
        <v>1886</v>
      </c>
      <c r="AL587" t="s">
        <v>1891</v>
      </c>
      <c r="AM587" t="s">
        <v>76</v>
      </c>
      <c r="AN587" t="s">
        <v>77</v>
      </c>
      <c r="AO587" t="s">
        <v>1953</v>
      </c>
      <c r="AP587" t="s">
        <v>2389</v>
      </c>
      <c r="AQ587" t="s">
        <v>80</v>
      </c>
      <c r="AR587" t="s">
        <v>77</v>
      </c>
      <c r="AS587" t="s">
        <v>1886</v>
      </c>
      <c r="AT587" t="s">
        <v>1891</v>
      </c>
      <c r="AU587" t="s">
        <v>83</v>
      </c>
      <c r="AV587" t="s">
        <v>7055</v>
      </c>
      <c r="AW587" t="str">
        <f>"3413500"</f>
        <v>3413500</v>
      </c>
    </row>
    <row r="588" spans="1:49">
      <c r="A588" t="str">
        <f t="shared" si="25"/>
        <v>33</v>
      </c>
      <c r="B588" t="s">
        <v>6956</v>
      </c>
      <c r="C588" t="str">
        <f>"4630"</f>
        <v>4630</v>
      </c>
      <c r="D588" t="s">
        <v>7056</v>
      </c>
      <c r="F588" t="s">
        <v>65</v>
      </c>
      <c r="G588" t="s">
        <v>7057</v>
      </c>
      <c r="H588" t="s">
        <v>7058</v>
      </c>
      <c r="I588" t="s">
        <v>89</v>
      </c>
      <c r="J588" s="2" t="s">
        <v>7059</v>
      </c>
      <c r="K588" t="s">
        <v>7060</v>
      </c>
      <c r="L588" t="s">
        <v>60</v>
      </c>
      <c r="M588" t="s">
        <v>6956</v>
      </c>
      <c r="N588" t="s">
        <v>62</v>
      </c>
      <c r="O588" t="str">
        <f>"08079"</f>
        <v>08079</v>
      </c>
      <c r="P588" t="s">
        <v>7060</v>
      </c>
      <c r="S588" t="s">
        <v>6956</v>
      </c>
      <c r="T588" t="s">
        <v>62</v>
      </c>
      <c r="U588" t="str">
        <f>"08079"</f>
        <v>08079</v>
      </c>
      <c r="W588" t="s">
        <v>7061</v>
      </c>
      <c r="X588" t="s">
        <v>77</v>
      </c>
      <c r="Y588" t="s">
        <v>975</v>
      </c>
      <c r="Z588" t="s">
        <v>7062</v>
      </c>
      <c r="AA588" t="s">
        <v>68</v>
      </c>
      <c r="AB588" t="s">
        <v>65</v>
      </c>
      <c r="AC588" t="s">
        <v>7063</v>
      </c>
      <c r="AD588" t="s">
        <v>899</v>
      </c>
      <c r="AE588" t="s">
        <v>415</v>
      </c>
      <c r="AF588" t="s">
        <v>77</v>
      </c>
      <c r="AG588" t="s">
        <v>1534</v>
      </c>
      <c r="AH588" t="s">
        <v>1583</v>
      </c>
      <c r="AI588" t="s">
        <v>73</v>
      </c>
      <c r="AJ588" t="s">
        <v>54</v>
      </c>
      <c r="AK588" t="s">
        <v>447</v>
      </c>
      <c r="AL588" t="s">
        <v>7064</v>
      </c>
      <c r="AM588" t="s">
        <v>76</v>
      </c>
      <c r="AN588" t="s">
        <v>77</v>
      </c>
      <c r="AO588" t="s">
        <v>328</v>
      </c>
      <c r="AP588" t="s">
        <v>7065</v>
      </c>
      <c r="AQ588" t="s">
        <v>80</v>
      </c>
      <c r="AR588" t="s">
        <v>77</v>
      </c>
      <c r="AS588" t="s">
        <v>975</v>
      </c>
      <c r="AT588" t="s">
        <v>7062</v>
      </c>
      <c r="AU588" t="s">
        <v>83</v>
      </c>
      <c r="AV588" t="s">
        <v>7066</v>
      </c>
      <c r="AW588" t="str">
        <f>"3414550"</f>
        <v>3414550</v>
      </c>
    </row>
    <row r="589" spans="1:49">
      <c r="A589" t="str">
        <f t="shared" si="25"/>
        <v>33</v>
      </c>
      <c r="B589" t="s">
        <v>6956</v>
      </c>
      <c r="C589" t="str">
        <f>"4635"</f>
        <v>4635</v>
      </c>
      <c r="D589" t="s">
        <v>7067</v>
      </c>
      <c r="F589" t="s">
        <v>77</v>
      </c>
      <c r="G589" t="s">
        <v>328</v>
      </c>
      <c r="H589" t="s">
        <v>7068</v>
      </c>
      <c r="I589" t="s">
        <v>89</v>
      </c>
      <c r="J589" s="2" t="s">
        <v>7069</v>
      </c>
      <c r="K589" t="s">
        <v>7070</v>
      </c>
      <c r="L589" t="s">
        <v>7071</v>
      </c>
      <c r="M589" t="s">
        <v>7072</v>
      </c>
      <c r="N589" t="s">
        <v>62</v>
      </c>
      <c r="O589" t="str">
        <f>"08098"</f>
        <v>08098</v>
      </c>
      <c r="P589" t="s">
        <v>7070</v>
      </c>
      <c r="Q589" t="s">
        <v>7073</v>
      </c>
      <c r="S589" t="s">
        <v>7072</v>
      </c>
      <c r="T589" t="s">
        <v>62</v>
      </c>
      <c r="U589" t="str">
        <f>"08098"</f>
        <v>08098</v>
      </c>
      <c r="W589" t="s">
        <v>7074</v>
      </c>
      <c r="X589" t="s">
        <v>77</v>
      </c>
      <c r="Y589" t="s">
        <v>373</v>
      </c>
      <c r="Z589" t="s">
        <v>7075</v>
      </c>
      <c r="AA589" t="s">
        <v>135</v>
      </c>
      <c r="AB589" t="s">
        <v>77</v>
      </c>
      <c r="AC589" t="s">
        <v>2929</v>
      </c>
      <c r="AD589" t="s">
        <v>2930</v>
      </c>
      <c r="AE589" t="s">
        <v>415</v>
      </c>
      <c r="AF589" t="s">
        <v>54</v>
      </c>
      <c r="AG589" t="s">
        <v>7076</v>
      </c>
      <c r="AH589" t="s">
        <v>1293</v>
      </c>
      <c r="AI589" t="s">
        <v>73</v>
      </c>
      <c r="AJ589" t="s">
        <v>54</v>
      </c>
      <c r="AK589" t="s">
        <v>150</v>
      </c>
      <c r="AL589" t="s">
        <v>3093</v>
      </c>
      <c r="AM589" t="s">
        <v>76</v>
      </c>
      <c r="AN589" t="s">
        <v>77</v>
      </c>
      <c r="AO589" t="s">
        <v>5048</v>
      </c>
      <c r="AP589" t="s">
        <v>1181</v>
      </c>
      <c r="AQ589" t="s">
        <v>80</v>
      </c>
      <c r="AR589" t="s">
        <v>77</v>
      </c>
      <c r="AS589" t="s">
        <v>373</v>
      </c>
      <c r="AT589" t="s">
        <v>7075</v>
      </c>
      <c r="AU589" t="s">
        <v>83</v>
      </c>
      <c r="AV589" t="s">
        <v>7077</v>
      </c>
      <c r="AW589" t="str">
        <f>"3480361"</f>
        <v>3480361</v>
      </c>
    </row>
    <row r="590" spans="1:49">
      <c r="A590" t="str">
        <f t="shared" si="25"/>
        <v>33</v>
      </c>
      <c r="B590" t="s">
        <v>6956</v>
      </c>
      <c r="C590" t="str">
        <f>"4640"</f>
        <v>4640</v>
      </c>
      <c r="D590" t="s">
        <v>7078</v>
      </c>
      <c r="F590" t="s">
        <v>77</v>
      </c>
      <c r="G590" t="s">
        <v>328</v>
      </c>
      <c r="H590" t="s">
        <v>7068</v>
      </c>
      <c r="I590" t="s">
        <v>89</v>
      </c>
      <c r="J590" s="2" t="s">
        <v>7079</v>
      </c>
      <c r="K590" t="s">
        <v>7080</v>
      </c>
      <c r="L590" t="s">
        <v>7081</v>
      </c>
      <c r="M590" t="s">
        <v>7072</v>
      </c>
      <c r="N590" t="s">
        <v>62</v>
      </c>
      <c r="O590" t="s">
        <v>7082</v>
      </c>
      <c r="P590" t="s">
        <v>7080</v>
      </c>
      <c r="Q590" t="s">
        <v>7083</v>
      </c>
      <c r="S590" t="s">
        <v>7072</v>
      </c>
      <c r="T590" t="s">
        <v>62</v>
      </c>
      <c r="U590" t="str">
        <f>"08098"</f>
        <v>08098</v>
      </c>
      <c r="V590" t="str">
        <f>"0350"</f>
        <v>0350</v>
      </c>
      <c r="W590" t="s">
        <v>7074</v>
      </c>
      <c r="X590" t="s">
        <v>65</v>
      </c>
      <c r="Y590" t="s">
        <v>155</v>
      </c>
      <c r="Z590" t="s">
        <v>7084</v>
      </c>
      <c r="AA590" t="s">
        <v>112</v>
      </c>
      <c r="AB590" t="s">
        <v>77</v>
      </c>
      <c r="AC590" t="s">
        <v>2929</v>
      </c>
      <c r="AD590" t="s">
        <v>2930</v>
      </c>
      <c r="AE590" t="s">
        <v>181</v>
      </c>
      <c r="AF590" t="s">
        <v>54</v>
      </c>
      <c r="AG590" t="s">
        <v>2980</v>
      </c>
      <c r="AH590" t="s">
        <v>7085</v>
      </c>
      <c r="AI590" t="s">
        <v>73</v>
      </c>
      <c r="AJ590" t="s">
        <v>65</v>
      </c>
      <c r="AK590" t="s">
        <v>155</v>
      </c>
      <c r="AL590" t="s">
        <v>7084</v>
      </c>
      <c r="AM590" t="s">
        <v>76</v>
      </c>
      <c r="AN590" t="s">
        <v>77</v>
      </c>
      <c r="AO590" t="s">
        <v>120</v>
      </c>
      <c r="AP590" t="s">
        <v>2277</v>
      </c>
      <c r="AQ590" t="s">
        <v>80</v>
      </c>
      <c r="AR590" t="s">
        <v>77</v>
      </c>
      <c r="AS590" t="s">
        <v>373</v>
      </c>
      <c r="AT590" t="s">
        <v>7075</v>
      </c>
      <c r="AU590" t="s">
        <v>83</v>
      </c>
      <c r="AV590" t="s">
        <v>7086</v>
      </c>
      <c r="AW590" t="str">
        <f>"3414580"</f>
        <v>3414580</v>
      </c>
    </row>
    <row r="591" spans="1:49">
      <c r="A591" t="str">
        <f t="shared" si="25"/>
        <v>33</v>
      </c>
      <c r="B591" t="s">
        <v>6956</v>
      </c>
      <c r="C591" t="str">
        <f>"2800"</f>
        <v>2800</v>
      </c>
      <c r="D591" t="s">
        <v>7087</v>
      </c>
      <c r="F591" t="s">
        <v>54</v>
      </c>
      <c r="G591" t="s">
        <v>541</v>
      </c>
      <c r="H591" t="s">
        <v>2909</v>
      </c>
      <c r="I591" t="s">
        <v>57</v>
      </c>
      <c r="J591" s="2" t="s">
        <v>7088</v>
      </c>
      <c r="K591" t="s">
        <v>7089</v>
      </c>
      <c r="L591" t="s">
        <v>60</v>
      </c>
      <c r="M591" t="s">
        <v>6980</v>
      </c>
      <c r="N591" t="s">
        <v>62</v>
      </c>
      <c r="O591" t="str">
        <f>"08079"</f>
        <v>08079</v>
      </c>
      <c r="P591" t="s">
        <v>7089</v>
      </c>
      <c r="S591" t="s">
        <v>6980</v>
      </c>
      <c r="T591" t="s">
        <v>62</v>
      </c>
      <c r="U591" t="str">
        <f>"08079"</f>
        <v>08079</v>
      </c>
      <c r="W591" t="s">
        <v>7090</v>
      </c>
      <c r="X591" t="s">
        <v>70</v>
      </c>
      <c r="Y591" t="s">
        <v>1272</v>
      </c>
      <c r="Z591" t="s">
        <v>6964</v>
      </c>
      <c r="AA591" t="s">
        <v>135</v>
      </c>
      <c r="AB591" t="s">
        <v>77</v>
      </c>
      <c r="AC591" t="s">
        <v>2929</v>
      </c>
      <c r="AD591" t="s">
        <v>2930</v>
      </c>
      <c r="AE591" t="s">
        <v>98</v>
      </c>
      <c r="AF591" t="s">
        <v>54</v>
      </c>
      <c r="AG591" t="s">
        <v>541</v>
      </c>
      <c r="AH591" t="s">
        <v>2909</v>
      </c>
      <c r="AI591" t="s">
        <v>73</v>
      </c>
      <c r="AJ591" t="s">
        <v>54</v>
      </c>
      <c r="AK591" t="s">
        <v>541</v>
      </c>
      <c r="AL591" t="s">
        <v>2909</v>
      </c>
      <c r="AM591" t="s">
        <v>76</v>
      </c>
      <c r="AN591" t="s">
        <v>77</v>
      </c>
      <c r="AO591" t="s">
        <v>2919</v>
      </c>
      <c r="AP591" t="s">
        <v>7091</v>
      </c>
      <c r="AQ591" t="s">
        <v>80</v>
      </c>
      <c r="AR591" t="s">
        <v>54</v>
      </c>
      <c r="AS591" t="s">
        <v>541</v>
      </c>
      <c r="AT591" t="s">
        <v>2909</v>
      </c>
      <c r="AU591" t="s">
        <v>83</v>
      </c>
      <c r="AV591" t="s">
        <v>7092</v>
      </c>
      <c r="AW591" t="str">
        <f>"3409030"</f>
        <v>3409030</v>
      </c>
    </row>
    <row r="592" spans="1:49">
      <c r="A592" t="str">
        <f t="shared" si="25"/>
        <v>33</v>
      </c>
      <c r="B592" t="s">
        <v>6956</v>
      </c>
      <c r="C592" t="str">
        <f>"5320"</f>
        <v>5320</v>
      </c>
      <c r="D592" t="s">
        <v>7093</v>
      </c>
      <c r="F592" t="s">
        <v>77</v>
      </c>
      <c r="G592" t="s">
        <v>436</v>
      </c>
      <c r="H592" t="s">
        <v>7094</v>
      </c>
      <c r="I592" t="s">
        <v>57</v>
      </c>
      <c r="J592" s="2" t="s">
        <v>7095</v>
      </c>
      <c r="K592" t="s">
        <v>7096</v>
      </c>
      <c r="L592" t="s">
        <v>60</v>
      </c>
      <c r="M592" t="s">
        <v>7097</v>
      </c>
      <c r="N592" t="s">
        <v>62</v>
      </c>
      <c r="O592" t="str">
        <f>"08343"</f>
        <v>08343</v>
      </c>
      <c r="P592" t="s">
        <v>7096</v>
      </c>
      <c r="S592" t="s">
        <v>7097</v>
      </c>
      <c r="T592" t="s">
        <v>62</v>
      </c>
      <c r="U592" t="str">
        <f>"08343"</f>
        <v>08343</v>
      </c>
      <c r="W592" t="s">
        <v>7098</v>
      </c>
      <c r="X592" t="s">
        <v>54</v>
      </c>
      <c r="Y592" t="s">
        <v>150</v>
      </c>
      <c r="Z592" t="s">
        <v>3019</v>
      </c>
      <c r="AA592" t="s">
        <v>112</v>
      </c>
      <c r="AB592" t="s">
        <v>77</v>
      </c>
      <c r="AC592" t="s">
        <v>436</v>
      </c>
      <c r="AD592" t="s">
        <v>7094</v>
      </c>
      <c r="AE592" t="s">
        <v>415</v>
      </c>
      <c r="AF592" t="s">
        <v>77</v>
      </c>
      <c r="AG592" t="s">
        <v>144</v>
      </c>
      <c r="AH592" t="s">
        <v>7099</v>
      </c>
      <c r="AI592" t="s">
        <v>73</v>
      </c>
      <c r="AJ592" t="s">
        <v>54</v>
      </c>
      <c r="AK592" t="s">
        <v>1910</v>
      </c>
      <c r="AL592" t="s">
        <v>7100</v>
      </c>
      <c r="AM592" t="s">
        <v>76</v>
      </c>
      <c r="AR592" t="s">
        <v>54</v>
      </c>
      <c r="AS592" t="s">
        <v>150</v>
      </c>
      <c r="AT592" t="s">
        <v>3019</v>
      </c>
      <c r="AU592" t="s">
        <v>83</v>
      </c>
      <c r="AV592" t="s">
        <v>7101</v>
      </c>
      <c r="AW592" t="str">
        <f>"3416590"</f>
        <v>3416590</v>
      </c>
    </row>
    <row r="593" spans="1:49">
      <c r="A593" t="str">
        <f t="shared" si="25"/>
        <v>33</v>
      </c>
      <c r="B593" t="s">
        <v>6956</v>
      </c>
      <c r="C593" t="str">
        <f>"5910"</f>
        <v>5910</v>
      </c>
      <c r="D593" t="s">
        <v>7102</v>
      </c>
      <c r="F593" t="s">
        <v>54</v>
      </c>
      <c r="G593" t="s">
        <v>7103</v>
      </c>
      <c r="H593" t="s">
        <v>7104</v>
      </c>
      <c r="I593" t="s">
        <v>89</v>
      </c>
      <c r="J593" s="2" t="s">
        <v>7105</v>
      </c>
      <c r="K593" t="s">
        <v>7106</v>
      </c>
      <c r="L593" t="s">
        <v>60</v>
      </c>
      <c r="M593" t="s">
        <v>7072</v>
      </c>
      <c r="N593" t="s">
        <v>62</v>
      </c>
      <c r="O593" t="str">
        <f>"08098"</f>
        <v>08098</v>
      </c>
      <c r="P593" t="s">
        <v>7106</v>
      </c>
      <c r="S593" t="s">
        <v>7072</v>
      </c>
      <c r="T593" t="s">
        <v>62</v>
      </c>
      <c r="U593" t="str">
        <f>"08098"</f>
        <v>08098</v>
      </c>
      <c r="W593" t="s">
        <v>7107</v>
      </c>
      <c r="X593" t="s">
        <v>54</v>
      </c>
      <c r="Y593" t="s">
        <v>123</v>
      </c>
      <c r="Z593" t="s">
        <v>7108</v>
      </c>
      <c r="AA593" t="s">
        <v>68</v>
      </c>
      <c r="AB593" t="s">
        <v>54</v>
      </c>
      <c r="AC593" t="s">
        <v>291</v>
      </c>
      <c r="AD593" t="s">
        <v>3461</v>
      </c>
      <c r="AE593" t="s">
        <v>98</v>
      </c>
      <c r="AF593" t="s">
        <v>54</v>
      </c>
      <c r="AG593" t="s">
        <v>3631</v>
      </c>
      <c r="AH593" t="s">
        <v>839</v>
      </c>
      <c r="AI593" t="s">
        <v>73</v>
      </c>
      <c r="AJ593" t="s">
        <v>54</v>
      </c>
      <c r="AK593" t="s">
        <v>7103</v>
      </c>
      <c r="AL593" t="s">
        <v>7104</v>
      </c>
      <c r="AM593" t="s">
        <v>76</v>
      </c>
      <c r="AN593" t="s">
        <v>77</v>
      </c>
      <c r="AO593" t="s">
        <v>7109</v>
      </c>
      <c r="AP593" t="s">
        <v>1293</v>
      </c>
      <c r="AQ593" t="s">
        <v>80</v>
      </c>
      <c r="AR593" t="s">
        <v>77</v>
      </c>
      <c r="AS593" t="s">
        <v>287</v>
      </c>
      <c r="AT593" t="s">
        <v>4479</v>
      </c>
      <c r="AU593" t="s">
        <v>83</v>
      </c>
      <c r="AV593" t="s">
        <v>7110</v>
      </c>
      <c r="AW593" t="str">
        <f>"3418330"</f>
        <v>3418330</v>
      </c>
    </row>
    <row r="594" spans="1:49">
      <c r="A594" t="str">
        <f>"35"</f>
        <v>35</v>
      </c>
      <c r="B594" t="s">
        <v>7111</v>
      </c>
      <c r="C594" t="str">
        <f>"0240"</f>
        <v>0240</v>
      </c>
      <c r="D594" t="s">
        <v>7112</v>
      </c>
      <c r="F594" t="s">
        <v>70</v>
      </c>
      <c r="G594" t="s">
        <v>155</v>
      </c>
      <c r="H594" t="s">
        <v>1013</v>
      </c>
      <c r="I594" t="s">
        <v>89</v>
      </c>
      <c r="J594" s="2" t="s">
        <v>7113</v>
      </c>
      <c r="K594" t="s">
        <v>7114</v>
      </c>
      <c r="L594" t="s">
        <v>60</v>
      </c>
      <c r="M594" t="s">
        <v>7115</v>
      </c>
      <c r="N594" t="s">
        <v>62</v>
      </c>
      <c r="O594" t="str">
        <f>"07921"</f>
        <v>07921</v>
      </c>
      <c r="P594" t="s">
        <v>7114</v>
      </c>
      <c r="S594" t="s">
        <v>7115</v>
      </c>
      <c r="T594" t="s">
        <v>62</v>
      </c>
      <c r="U594" t="str">
        <f>"07921"</f>
        <v>07921</v>
      </c>
      <c r="W594" t="s">
        <v>7116</v>
      </c>
      <c r="X594" t="s">
        <v>54</v>
      </c>
      <c r="Y594" t="s">
        <v>7117</v>
      </c>
      <c r="Z594" t="s">
        <v>1283</v>
      </c>
      <c r="AA594" t="s">
        <v>112</v>
      </c>
      <c r="AB594" t="s">
        <v>54</v>
      </c>
      <c r="AC594" t="s">
        <v>71</v>
      </c>
      <c r="AD594" t="s">
        <v>7118</v>
      </c>
      <c r="AE594" t="s">
        <v>69</v>
      </c>
      <c r="AF594" t="s">
        <v>65</v>
      </c>
      <c r="AG594" t="s">
        <v>1684</v>
      </c>
      <c r="AH594" t="s">
        <v>7119</v>
      </c>
      <c r="AI594" t="s">
        <v>73</v>
      </c>
      <c r="AJ594" t="s">
        <v>77</v>
      </c>
      <c r="AK594" t="s">
        <v>1684</v>
      </c>
      <c r="AL594" t="s">
        <v>7119</v>
      </c>
      <c r="AM594" t="s">
        <v>76</v>
      </c>
      <c r="AN594" t="s">
        <v>77</v>
      </c>
      <c r="AO594" t="s">
        <v>367</v>
      </c>
      <c r="AP594" t="s">
        <v>7120</v>
      </c>
      <c r="AQ594" t="s">
        <v>80</v>
      </c>
      <c r="AR594" t="s">
        <v>77</v>
      </c>
      <c r="AS594" t="s">
        <v>7121</v>
      </c>
      <c r="AT594" t="s">
        <v>7122</v>
      </c>
      <c r="AU594" t="s">
        <v>83</v>
      </c>
      <c r="AV594" t="s">
        <v>7123</v>
      </c>
      <c r="AW594" t="str">
        <f>"3401320"</f>
        <v>3401320</v>
      </c>
    </row>
    <row r="595" spans="1:49">
      <c r="A595" t="str">
        <f>"35"</f>
        <v>35</v>
      </c>
      <c r="B595" t="s">
        <v>7111</v>
      </c>
      <c r="C595" t="str">
        <f>"0350"</f>
        <v>0350</v>
      </c>
      <c r="D595" t="s">
        <v>7124</v>
      </c>
      <c r="F595" t="s">
        <v>77</v>
      </c>
      <c r="G595" t="s">
        <v>2771</v>
      </c>
      <c r="H595" t="s">
        <v>7125</v>
      </c>
      <c r="I595" t="s">
        <v>57</v>
      </c>
      <c r="J595" s="2" t="s">
        <v>7126</v>
      </c>
      <c r="K595" t="s">
        <v>7127</v>
      </c>
      <c r="L595" t="s">
        <v>60</v>
      </c>
      <c r="M595" t="s">
        <v>7128</v>
      </c>
      <c r="N595" t="s">
        <v>62</v>
      </c>
      <c r="O595" t="str">
        <f>"07920"</f>
        <v>07920</v>
      </c>
      <c r="P595" t="s">
        <v>7127</v>
      </c>
      <c r="S595" t="s">
        <v>7128</v>
      </c>
      <c r="T595" t="s">
        <v>62</v>
      </c>
      <c r="U595" t="str">
        <f>"07920"</f>
        <v>07920</v>
      </c>
      <c r="W595" t="s">
        <v>7129</v>
      </c>
      <c r="X595" t="s">
        <v>77</v>
      </c>
      <c r="Y595" t="s">
        <v>7130</v>
      </c>
      <c r="Z595" t="s">
        <v>2515</v>
      </c>
      <c r="AA595" t="s">
        <v>68</v>
      </c>
      <c r="AB595" t="s">
        <v>70</v>
      </c>
      <c r="AC595" t="s">
        <v>2160</v>
      </c>
      <c r="AD595" t="s">
        <v>7131</v>
      </c>
      <c r="AE595" t="s">
        <v>98</v>
      </c>
      <c r="AF595" t="s">
        <v>77</v>
      </c>
      <c r="AG595" t="s">
        <v>570</v>
      </c>
      <c r="AH595" t="s">
        <v>7132</v>
      </c>
      <c r="AI595" t="s">
        <v>73</v>
      </c>
      <c r="AJ595" t="s">
        <v>70</v>
      </c>
      <c r="AK595" t="s">
        <v>1246</v>
      </c>
      <c r="AL595" t="s">
        <v>187</v>
      </c>
      <c r="AM595" t="s">
        <v>3429</v>
      </c>
      <c r="AN595" t="s">
        <v>77</v>
      </c>
      <c r="AO595" t="s">
        <v>5134</v>
      </c>
      <c r="AP595" t="s">
        <v>7133</v>
      </c>
      <c r="AQ595" t="s">
        <v>80</v>
      </c>
      <c r="AR595" t="s">
        <v>77</v>
      </c>
      <c r="AS595" t="s">
        <v>7134</v>
      </c>
      <c r="AT595" t="s">
        <v>4114</v>
      </c>
      <c r="AU595" t="s">
        <v>83</v>
      </c>
      <c r="AV595" t="s">
        <v>7135</v>
      </c>
      <c r="AW595" t="str">
        <f>"3401650"</f>
        <v>3401650</v>
      </c>
    </row>
    <row r="596" spans="1:49">
      <c r="A596" t="str">
        <f>"35"</f>
        <v>35</v>
      </c>
      <c r="B596" t="s">
        <v>7111</v>
      </c>
      <c r="C596" t="str">
        <f>"0490"</f>
        <v>0490</v>
      </c>
      <c r="D596" t="s">
        <v>7136</v>
      </c>
      <c r="F596" t="s">
        <v>65</v>
      </c>
      <c r="G596" t="s">
        <v>87</v>
      </c>
      <c r="H596" t="s">
        <v>2142</v>
      </c>
      <c r="I596" t="s">
        <v>89</v>
      </c>
      <c r="J596" s="2" t="s">
        <v>7137</v>
      </c>
      <c r="K596" t="s">
        <v>7138</v>
      </c>
      <c r="L596" t="s">
        <v>60</v>
      </c>
      <c r="M596" t="s">
        <v>7139</v>
      </c>
      <c r="N596" t="s">
        <v>62</v>
      </c>
      <c r="O596" t="str">
        <f>"08805"</f>
        <v>08805</v>
      </c>
      <c r="P596" t="s">
        <v>7138</v>
      </c>
      <c r="S596" t="s">
        <v>7139</v>
      </c>
      <c r="T596" t="s">
        <v>62</v>
      </c>
      <c r="U596" t="str">
        <f>"08805"</f>
        <v>08805</v>
      </c>
      <c r="W596" t="s">
        <v>7140</v>
      </c>
      <c r="X596" t="s">
        <v>77</v>
      </c>
      <c r="Y596" t="s">
        <v>120</v>
      </c>
      <c r="Z596" t="s">
        <v>4506</v>
      </c>
      <c r="AA596" t="s">
        <v>135</v>
      </c>
      <c r="AB596" t="s">
        <v>77</v>
      </c>
      <c r="AC596" t="s">
        <v>667</v>
      </c>
      <c r="AD596" t="s">
        <v>1562</v>
      </c>
      <c r="AE596" t="s">
        <v>98</v>
      </c>
      <c r="AF596" t="s">
        <v>77</v>
      </c>
      <c r="AG596" t="s">
        <v>166</v>
      </c>
      <c r="AH596" t="s">
        <v>7141</v>
      </c>
      <c r="AI596" t="s">
        <v>73</v>
      </c>
      <c r="AJ596" t="s">
        <v>77</v>
      </c>
      <c r="AK596" t="s">
        <v>166</v>
      </c>
      <c r="AL596" t="s">
        <v>7141</v>
      </c>
      <c r="AM596" t="s">
        <v>76</v>
      </c>
      <c r="AN596" t="s">
        <v>77</v>
      </c>
      <c r="AO596" t="s">
        <v>7142</v>
      </c>
      <c r="AP596" t="s">
        <v>7143</v>
      </c>
      <c r="AQ596" t="s">
        <v>80</v>
      </c>
      <c r="AR596" t="s">
        <v>77</v>
      </c>
      <c r="AS596" t="s">
        <v>7144</v>
      </c>
      <c r="AT596" t="s">
        <v>1266</v>
      </c>
      <c r="AU596" t="s">
        <v>83</v>
      </c>
      <c r="AV596" t="s">
        <v>7145</v>
      </c>
      <c r="AW596" t="str">
        <f>"3402100"</f>
        <v>3402100</v>
      </c>
    </row>
    <row r="597" spans="1:49">
      <c r="A597" t="str">
        <f>"35"</f>
        <v>35</v>
      </c>
      <c r="B597" t="s">
        <v>7111</v>
      </c>
      <c r="C597" t="str">
        <f>"0510"</f>
        <v>0510</v>
      </c>
      <c r="D597" t="s">
        <v>7146</v>
      </c>
      <c r="F597" t="s">
        <v>70</v>
      </c>
      <c r="G597" t="s">
        <v>3888</v>
      </c>
      <c r="H597" t="s">
        <v>7147</v>
      </c>
      <c r="I597" t="s">
        <v>89</v>
      </c>
      <c r="J597" s="2" t="s">
        <v>7148</v>
      </c>
      <c r="K597" t="s">
        <v>7149</v>
      </c>
      <c r="L597" t="s">
        <v>60</v>
      </c>
      <c r="M597" t="s">
        <v>7150</v>
      </c>
      <c r="N597" t="s">
        <v>62</v>
      </c>
      <c r="O597" t="str">
        <f>"08876"</f>
        <v>08876</v>
      </c>
      <c r="P597" t="s">
        <v>7149</v>
      </c>
      <c r="S597" t="s">
        <v>7150</v>
      </c>
      <c r="T597" t="s">
        <v>62</v>
      </c>
      <c r="U597" t="str">
        <f>"08876"</f>
        <v>08876</v>
      </c>
      <c r="W597" t="s">
        <v>7151</v>
      </c>
      <c r="X597" t="s">
        <v>70</v>
      </c>
      <c r="Y597" t="s">
        <v>1085</v>
      </c>
      <c r="Z597" t="s">
        <v>7152</v>
      </c>
      <c r="AA597" t="s">
        <v>135</v>
      </c>
      <c r="AB597" t="s">
        <v>70</v>
      </c>
      <c r="AC597" t="s">
        <v>94</v>
      </c>
      <c r="AD597" t="s">
        <v>2167</v>
      </c>
      <c r="AE597" t="s">
        <v>181</v>
      </c>
      <c r="AF597" t="s">
        <v>70</v>
      </c>
      <c r="AG597" t="s">
        <v>94</v>
      </c>
      <c r="AH597" t="s">
        <v>2167</v>
      </c>
      <c r="AI597" t="s">
        <v>73</v>
      </c>
      <c r="AJ597" t="s">
        <v>70</v>
      </c>
      <c r="AK597" t="s">
        <v>155</v>
      </c>
      <c r="AL597" t="s">
        <v>1042</v>
      </c>
      <c r="AM597" t="s">
        <v>76</v>
      </c>
      <c r="AN597" t="s">
        <v>77</v>
      </c>
      <c r="AO597" t="s">
        <v>1418</v>
      </c>
      <c r="AP597" t="s">
        <v>7153</v>
      </c>
      <c r="AQ597" t="s">
        <v>80</v>
      </c>
      <c r="AR597" t="s">
        <v>77</v>
      </c>
      <c r="AS597" t="s">
        <v>281</v>
      </c>
      <c r="AT597" t="s">
        <v>7154</v>
      </c>
      <c r="AU597" t="s">
        <v>83</v>
      </c>
      <c r="AV597" t="s">
        <v>7155</v>
      </c>
      <c r="AW597" t="str">
        <f>"3402160"</f>
        <v>3402160</v>
      </c>
    </row>
    <row r="598" spans="1:49">
      <c r="A598" t="str">
        <f>"35"</f>
        <v>35</v>
      </c>
      <c r="B598" t="s">
        <v>7111</v>
      </c>
      <c r="C598" t="str">
        <f>"0555"</f>
        <v>0555</v>
      </c>
      <c r="D598" t="s">
        <v>7156</v>
      </c>
      <c r="F598" t="s">
        <v>65</v>
      </c>
      <c r="G598" t="s">
        <v>319</v>
      </c>
      <c r="H598" t="s">
        <v>7157</v>
      </c>
      <c r="I598" t="s">
        <v>408</v>
      </c>
      <c r="J598" s="2" t="s">
        <v>7158</v>
      </c>
      <c r="K598" t="s">
        <v>7159</v>
      </c>
      <c r="L598" t="s">
        <v>60</v>
      </c>
      <c r="M598" t="s">
        <v>7160</v>
      </c>
      <c r="N598" t="s">
        <v>62</v>
      </c>
      <c r="O598" t="str">
        <f>"08836"</f>
        <v>08836</v>
      </c>
      <c r="P598" t="s">
        <v>7159</v>
      </c>
      <c r="Q598" t="s">
        <v>7161</v>
      </c>
      <c r="S598" t="s">
        <v>7162</v>
      </c>
      <c r="T598" t="s">
        <v>62</v>
      </c>
      <c r="U598" t="str">
        <f>"08807"</f>
        <v>08807</v>
      </c>
      <c r="W598" t="s">
        <v>7163</v>
      </c>
      <c r="Y598" t="s">
        <v>994</v>
      </c>
      <c r="Z598" t="s">
        <v>7164</v>
      </c>
      <c r="AA598" t="s">
        <v>135</v>
      </c>
      <c r="AB598" t="s">
        <v>65</v>
      </c>
      <c r="AC598" t="s">
        <v>539</v>
      </c>
      <c r="AD598" t="s">
        <v>1630</v>
      </c>
      <c r="AE598" t="s">
        <v>98</v>
      </c>
      <c r="AG598" t="s">
        <v>5696</v>
      </c>
      <c r="AH598" t="s">
        <v>7165</v>
      </c>
      <c r="AI598" t="s">
        <v>73</v>
      </c>
      <c r="AK598" t="s">
        <v>7166</v>
      </c>
      <c r="AL598" t="s">
        <v>7167</v>
      </c>
      <c r="AM598" t="s">
        <v>76</v>
      </c>
      <c r="AO598" t="s">
        <v>570</v>
      </c>
      <c r="AP598" t="s">
        <v>357</v>
      </c>
      <c r="AQ598" t="s">
        <v>80</v>
      </c>
      <c r="AR598" t="s">
        <v>65</v>
      </c>
      <c r="AS598" t="s">
        <v>539</v>
      </c>
      <c r="AT598" t="s">
        <v>7168</v>
      </c>
      <c r="AU598" t="s">
        <v>83</v>
      </c>
      <c r="AV598" t="s">
        <v>7169</v>
      </c>
      <c r="AW598" t="str">
        <f>"3402280"</f>
        <v>3402280</v>
      </c>
    </row>
    <row r="599" spans="1:49">
      <c r="A599" t="str">
        <f>"80"</f>
        <v>80</v>
      </c>
      <c r="B599" t="s">
        <v>7111</v>
      </c>
      <c r="C599" t="str">
        <f>"6018"</f>
        <v>6018</v>
      </c>
      <c r="D599" t="s">
        <v>7170</v>
      </c>
      <c r="E599" t="str">
        <f>"900"</f>
        <v>900</v>
      </c>
      <c r="F599" t="s">
        <v>65</v>
      </c>
      <c r="G599" t="s">
        <v>4971</v>
      </c>
      <c r="H599" t="s">
        <v>4972</v>
      </c>
      <c r="I599" t="s">
        <v>128</v>
      </c>
      <c r="J599" s="2" t="s">
        <v>7171</v>
      </c>
      <c r="K599" t="s">
        <v>7172</v>
      </c>
      <c r="L599" t="s">
        <v>60</v>
      </c>
      <c r="M599" t="s">
        <v>7173</v>
      </c>
      <c r="N599" t="s">
        <v>62</v>
      </c>
      <c r="O599" t="s">
        <v>7174</v>
      </c>
      <c r="P599" t="s">
        <v>7172</v>
      </c>
      <c r="S599" t="s">
        <v>7173</v>
      </c>
      <c r="T599" t="s">
        <v>62</v>
      </c>
      <c r="U599" t="str">
        <f>"08873"</f>
        <v>08873</v>
      </c>
      <c r="V599" t="str">
        <f>"1235"</f>
        <v>1235</v>
      </c>
      <c r="W599" t="s">
        <v>4975</v>
      </c>
      <c r="X599" t="s">
        <v>77</v>
      </c>
      <c r="Y599" t="s">
        <v>4976</v>
      </c>
      <c r="Z599" t="s">
        <v>4977</v>
      </c>
      <c r="AA599" t="s">
        <v>135</v>
      </c>
      <c r="AB599" t="s">
        <v>70</v>
      </c>
      <c r="AC599" t="s">
        <v>7175</v>
      </c>
      <c r="AD599" t="s">
        <v>7176</v>
      </c>
      <c r="AE599" t="s">
        <v>181</v>
      </c>
      <c r="AF599" t="s">
        <v>54</v>
      </c>
      <c r="AG599" t="s">
        <v>7175</v>
      </c>
      <c r="AH599" t="s">
        <v>7176</v>
      </c>
      <c r="AI599" t="s">
        <v>73</v>
      </c>
      <c r="AJ599" t="s">
        <v>65</v>
      </c>
      <c r="AK599" t="s">
        <v>1284</v>
      </c>
      <c r="AL599" t="s">
        <v>7177</v>
      </c>
      <c r="AM599" t="s">
        <v>76</v>
      </c>
      <c r="AN599" t="s">
        <v>77</v>
      </c>
      <c r="AO599" t="s">
        <v>4976</v>
      </c>
      <c r="AP599" t="s">
        <v>7178</v>
      </c>
      <c r="AQ599" t="s">
        <v>80</v>
      </c>
      <c r="AR599" t="s">
        <v>77</v>
      </c>
      <c r="AS599" t="s">
        <v>4976</v>
      </c>
      <c r="AT599" t="s">
        <v>7178</v>
      </c>
      <c r="AU599" t="s">
        <v>83</v>
      </c>
      <c r="AV599" t="s">
        <v>7179</v>
      </c>
      <c r="AW599" t="str">
        <f>"3400090"</f>
        <v>3400090</v>
      </c>
    </row>
    <row r="600" spans="1:49">
      <c r="A600" t="str">
        <f t="shared" ref="A600:A610" si="26">"35"</f>
        <v>35</v>
      </c>
      <c r="B600" t="s">
        <v>7111</v>
      </c>
      <c r="C600" t="str">
        <f>"1610"</f>
        <v>1610</v>
      </c>
      <c r="D600" t="s">
        <v>7180</v>
      </c>
      <c r="F600" t="s">
        <v>65</v>
      </c>
      <c r="G600" t="s">
        <v>328</v>
      </c>
      <c r="H600" t="s">
        <v>7181</v>
      </c>
      <c r="I600" t="s">
        <v>89</v>
      </c>
      <c r="J600" s="2" t="s">
        <v>7182</v>
      </c>
      <c r="K600" t="s">
        <v>7183</v>
      </c>
      <c r="L600" t="s">
        <v>60</v>
      </c>
      <c r="M600" t="s">
        <v>7173</v>
      </c>
      <c r="N600" t="s">
        <v>62</v>
      </c>
      <c r="O600" t="str">
        <f>"08873"</f>
        <v>08873</v>
      </c>
      <c r="P600" t="s">
        <v>7183</v>
      </c>
      <c r="S600" t="s">
        <v>7173</v>
      </c>
      <c r="T600" t="s">
        <v>62</v>
      </c>
      <c r="U600" t="str">
        <f>"08873"</f>
        <v>08873</v>
      </c>
      <c r="W600" t="s">
        <v>7184</v>
      </c>
      <c r="X600" t="s">
        <v>77</v>
      </c>
      <c r="Y600" t="s">
        <v>178</v>
      </c>
      <c r="Z600" t="s">
        <v>7185</v>
      </c>
      <c r="AA600" t="s">
        <v>135</v>
      </c>
      <c r="AB600" t="s">
        <v>65</v>
      </c>
      <c r="AC600" t="s">
        <v>323</v>
      </c>
      <c r="AD600" t="s">
        <v>7186</v>
      </c>
      <c r="AE600" t="s">
        <v>98</v>
      </c>
      <c r="AF600" t="s">
        <v>77</v>
      </c>
      <c r="AG600" t="s">
        <v>7187</v>
      </c>
      <c r="AH600" t="s">
        <v>454</v>
      </c>
      <c r="AI600" t="s">
        <v>73</v>
      </c>
      <c r="AJ600" t="s">
        <v>54</v>
      </c>
      <c r="AK600" t="s">
        <v>1496</v>
      </c>
      <c r="AL600" t="s">
        <v>7188</v>
      </c>
      <c r="AM600" t="s">
        <v>76</v>
      </c>
      <c r="AN600" t="s">
        <v>77</v>
      </c>
      <c r="AO600" t="s">
        <v>422</v>
      </c>
      <c r="AP600" t="s">
        <v>7189</v>
      </c>
      <c r="AQ600" t="s">
        <v>80</v>
      </c>
      <c r="AR600" t="s">
        <v>77</v>
      </c>
      <c r="AS600" t="s">
        <v>7187</v>
      </c>
      <c r="AT600" t="s">
        <v>454</v>
      </c>
      <c r="AU600" t="s">
        <v>83</v>
      </c>
      <c r="AV600" t="s">
        <v>7190</v>
      </c>
      <c r="AW600" t="str">
        <f>"3405490"</f>
        <v>3405490</v>
      </c>
    </row>
    <row r="601" spans="1:49">
      <c r="A601" t="str">
        <f t="shared" si="26"/>
        <v>35</v>
      </c>
      <c r="B601" t="s">
        <v>7111</v>
      </c>
      <c r="C601" t="str">
        <f>"1810"</f>
        <v>1810</v>
      </c>
      <c r="D601" t="s">
        <v>7191</v>
      </c>
      <c r="F601" t="s">
        <v>65</v>
      </c>
      <c r="G601" t="s">
        <v>182</v>
      </c>
      <c r="H601" t="s">
        <v>7192</v>
      </c>
      <c r="I601" t="s">
        <v>89</v>
      </c>
      <c r="J601" s="2" t="s">
        <v>7193</v>
      </c>
      <c r="K601" t="s">
        <v>7194</v>
      </c>
      <c r="L601" t="s">
        <v>60</v>
      </c>
      <c r="M601" t="s">
        <v>7195</v>
      </c>
      <c r="N601" t="s">
        <v>62</v>
      </c>
      <c r="O601" t="s">
        <v>7196</v>
      </c>
      <c r="P601" t="s">
        <v>7194</v>
      </c>
      <c r="S601" t="s">
        <v>7195</v>
      </c>
      <c r="T601" t="s">
        <v>62</v>
      </c>
      <c r="U601" t="str">
        <f>"08812"</f>
        <v>08812</v>
      </c>
      <c r="V601" t="str">
        <f>"2608"</f>
        <v>2608</v>
      </c>
      <c r="W601" t="s">
        <v>7197</v>
      </c>
      <c r="X601" t="s">
        <v>77</v>
      </c>
      <c r="Y601" t="s">
        <v>78</v>
      </c>
      <c r="Z601" t="s">
        <v>966</v>
      </c>
      <c r="AA601" t="s">
        <v>135</v>
      </c>
      <c r="AB601" t="s">
        <v>70</v>
      </c>
      <c r="AC601" t="s">
        <v>150</v>
      </c>
      <c r="AD601" t="s">
        <v>6176</v>
      </c>
      <c r="AE601" t="s">
        <v>433</v>
      </c>
      <c r="AF601" t="s">
        <v>54</v>
      </c>
      <c r="AG601" t="s">
        <v>7198</v>
      </c>
      <c r="AH601" t="s">
        <v>7199</v>
      </c>
      <c r="AI601" t="s">
        <v>73</v>
      </c>
      <c r="AJ601" t="s">
        <v>54</v>
      </c>
      <c r="AK601" t="s">
        <v>5408</v>
      </c>
      <c r="AL601" t="s">
        <v>7200</v>
      </c>
      <c r="AM601" t="s">
        <v>76</v>
      </c>
      <c r="AN601" t="s">
        <v>77</v>
      </c>
      <c r="AO601" t="s">
        <v>243</v>
      </c>
      <c r="AP601" t="s">
        <v>423</v>
      </c>
      <c r="AQ601" t="s">
        <v>80</v>
      </c>
      <c r="AR601" t="s">
        <v>77</v>
      </c>
      <c r="AS601" t="s">
        <v>243</v>
      </c>
      <c r="AT601" t="s">
        <v>423</v>
      </c>
      <c r="AU601" t="s">
        <v>83</v>
      </c>
      <c r="AV601" t="s">
        <v>7201</v>
      </c>
      <c r="AW601" t="str">
        <f>"3406120"</f>
        <v>3406120</v>
      </c>
    </row>
    <row r="602" spans="1:49">
      <c r="A602" t="str">
        <f t="shared" si="26"/>
        <v>35</v>
      </c>
      <c r="B602" t="s">
        <v>7111</v>
      </c>
      <c r="C602" t="str">
        <f>"2170"</f>
        <v>2170</v>
      </c>
      <c r="D602" t="s">
        <v>7202</v>
      </c>
      <c r="F602" t="s">
        <v>65</v>
      </c>
      <c r="G602" t="s">
        <v>150</v>
      </c>
      <c r="H602" t="s">
        <v>7203</v>
      </c>
      <c r="I602" t="s">
        <v>89</v>
      </c>
      <c r="J602" s="2" t="s">
        <v>7204</v>
      </c>
      <c r="K602" t="s">
        <v>7205</v>
      </c>
      <c r="L602" t="s">
        <v>60</v>
      </c>
      <c r="M602" t="s">
        <v>7206</v>
      </c>
      <c r="N602" t="s">
        <v>62</v>
      </c>
      <c r="O602" t="str">
        <f>"08844"</f>
        <v>08844</v>
      </c>
      <c r="P602" t="s">
        <v>7205</v>
      </c>
      <c r="S602" t="s">
        <v>7206</v>
      </c>
      <c r="T602" t="s">
        <v>62</v>
      </c>
      <c r="U602" t="str">
        <f>"08844"</f>
        <v>08844</v>
      </c>
      <c r="W602" t="s">
        <v>7207</v>
      </c>
      <c r="X602" t="s">
        <v>77</v>
      </c>
      <c r="Y602" t="s">
        <v>7208</v>
      </c>
      <c r="Z602" t="s">
        <v>7209</v>
      </c>
      <c r="AA602" t="s">
        <v>112</v>
      </c>
      <c r="AB602" t="s">
        <v>65</v>
      </c>
      <c r="AC602" t="s">
        <v>7210</v>
      </c>
      <c r="AD602" t="s">
        <v>7211</v>
      </c>
      <c r="AE602" t="s">
        <v>98</v>
      </c>
      <c r="AF602" t="s">
        <v>70</v>
      </c>
      <c r="AG602" t="s">
        <v>928</v>
      </c>
      <c r="AH602" t="s">
        <v>7212</v>
      </c>
      <c r="AI602" t="s">
        <v>73</v>
      </c>
      <c r="AJ602" t="s">
        <v>65</v>
      </c>
      <c r="AK602" t="s">
        <v>397</v>
      </c>
      <c r="AL602" t="s">
        <v>7213</v>
      </c>
      <c r="AM602" t="s">
        <v>154</v>
      </c>
      <c r="AN602" t="s">
        <v>77</v>
      </c>
      <c r="AO602" t="s">
        <v>1811</v>
      </c>
      <c r="AP602" t="s">
        <v>7214</v>
      </c>
      <c r="AQ602" t="s">
        <v>80</v>
      </c>
      <c r="AR602" t="s">
        <v>77</v>
      </c>
      <c r="AS602" t="s">
        <v>120</v>
      </c>
      <c r="AT602" t="s">
        <v>5175</v>
      </c>
      <c r="AU602" t="s">
        <v>83</v>
      </c>
      <c r="AV602" t="s">
        <v>7215</v>
      </c>
      <c r="AW602" t="str">
        <f>"3407230"</f>
        <v>3407230</v>
      </c>
    </row>
    <row r="603" spans="1:49">
      <c r="A603" t="str">
        <f t="shared" si="26"/>
        <v>35</v>
      </c>
      <c r="B603" t="s">
        <v>7111</v>
      </c>
      <c r="C603" t="str">
        <f>"3000"</f>
        <v>3000</v>
      </c>
      <c r="D603" t="s">
        <v>7216</v>
      </c>
      <c r="F603" t="s">
        <v>77</v>
      </c>
      <c r="G603" t="s">
        <v>873</v>
      </c>
      <c r="H603" t="s">
        <v>7217</v>
      </c>
      <c r="I603" t="s">
        <v>57</v>
      </c>
      <c r="J603" s="2" t="s">
        <v>7218</v>
      </c>
      <c r="K603" t="s">
        <v>7219</v>
      </c>
      <c r="L603" t="s">
        <v>60</v>
      </c>
      <c r="M603" t="s">
        <v>7220</v>
      </c>
      <c r="N603" t="s">
        <v>62</v>
      </c>
      <c r="O603" t="str">
        <f>"08835"</f>
        <v>08835</v>
      </c>
      <c r="P603" t="s">
        <v>7219</v>
      </c>
      <c r="S603" t="s">
        <v>7220</v>
      </c>
      <c r="T603" t="s">
        <v>62</v>
      </c>
      <c r="U603" t="str">
        <f>"08835"</f>
        <v>08835</v>
      </c>
      <c r="W603" t="s">
        <v>7221</v>
      </c>
      <c r="X603" t="s">
        <v>70</v>
      </c>
      <c r="Y603" t="s">
        <v>653</v>
      </c>
      <c r="Z603" t="s">
        <v>7222</v>
      </c>
      <c r="AA603" t="s">
        <v>135</v>
      </c>
      <c r="AB603" t="s">
        <v>54</v>
      </c>
      <c r="AC603" t="s">
        <v>932</v>
      </c>
      <c r="AD603" t="s">
        <v>7223</v>
      </c>
      <c r="AE603" t="s">
        <v>181</v>
      </c>
      <c r="AF603" t="s">
        <v>54</v>
      </c>
      <c r="AG603" t="s">
        <v>932</v>
      </c>
      <c r="AH603" t="s">
        <v>7223</v>
      </c>
      <c r="AI603" t="s">
        <v>73</v>
      </c>
      <c r="AJ603" t="s">
        <v>65</v>
      </c>
      <c r="AK603" t="s">
        <v>7224</v>
      </c>
      <c r="AL603" t="s">
        <v>7225</v>
      </c>
      <c r="AM603" t="s">
        <v>76</v>
      </c>
      <c r="AN603" t="s">
        <v>77</v>
      </c>
      <c r="AO603" t="s">
        <v>273</v>
      </c>
      <c r="AP603" t="s">
        <v>1311</v>
      </c>
      <c r="AQ603" t="s">
        <v>80</v>
      </c>
      <c r="AR603" t="s">
        <v>77</v>
      </c>
      <c r="AS603" t="s">
        <v>136</v>
      </c>
      <c r="AT603" t="s">
        <v>7226</v>
      </c>
      <c r="AU603" t="s">
        <v>83</v>
      </c>
      <c r="AV603" t="s">
        <v>7227</v>
      </c>
      <c r="AW603" t="str">
        <f>"3409630"</f>
        <v>3409630</v>
      </c>
    </row>
    <row r="604" spans="1:49">
      <c r="A604" t="str">
        <f t="shared" si="26"/>
        <v>35</v>
      </c>
      <c r="B604" t="s">
        <v>7111</v>
      </c>
      <c r="C604" t="str">
        <f>"3320"</f>
        <v>3320</v>
      </c>
      <c r="D604" t="s">
        <v>7228</v>
      </c>
      <c r="F604" t="s">
        <v>54</v>
      </c>
      <c r="G604" t="s">
        <v>838</v>
      </c>
      <c r="H604" t="s">
        <v>7229</v>
      </c>
      <c r="I604" t="s">
        <v>89</v>
      </c>
      <c r="J604" s="2" t="s">
        <v>7230</v>
      </c>
      <c r="K604" t="s">
        <v>7231</v>
      </c>
      <c r="L604" t="s">
        <v>60</v>
      </c>
      <c r="M604" t="s">
        <v>7232</v>
      </c>
      <c r="N604" t="s">
        <v>62</v>
      </c>
      <c r="O604" t="str">
        <f>"08558"</f>
        <v>08558</v>
      </c>
      <c r="P604" t="s">
        <v>7231</v>
      </c>
      <c r="S604" t="s">
        <v>7232</v>
      </c>
      <c r="T604" t="s">
        <v>62</v>
      </c>
      <c r="U604" t="str">
        <f>"08558"</f>
        <v>08558</v>
      </c>
      <c r="W604" t="s">
        <v>7233</v>
      </c>
      <c r="X604" t="s">
        <v>54</v>
      </c>
      <c r="Y604" t="s">
        <v>5408</v>
      </c>
      <c r="Z604" t="s">
        <v>7234</v>
      </c>
      <c r="AA604" t="s">
        <v>68</v>
      </c>
      <c r="AB604" t="s">
        <v>54</v>
      </c>
      <c r="AC604" t="s">
        <v>5679</v>
      </c>
      <c r="AD604" t="s">
        <v>899</v>
      </c>
      <c r="AE604" t="s">
        <v>587</v>
      </c>
      <c r="AF604" t="s">
        <v>54</v>
      </c>
      <c r="AG604" t="s">
        <v>5679</v>
      </c>
      <c r="AH604" t="s">
        <v>899</v>
      </c>
      <c r="AI604" t="s">
        <v>73</v>
      </c>
      <c r="AJ604" t="s">
        <v>77</v>
      </c>
      <c r="AK604" t="s">
        <v>626</v>
      </c>
      <c r="AL604" t="s">
        <v>7235</v>
      </c>
      <c r="AM604" t="s">
        <v>76</v>
      </c>
      <c r="AN604" t="s">
        <v>77</v>
      </c>
      <c r="AO604" t="s">
        <v>338</v>
      </c>
      <c r="AP604" t="s">
        <v>3252</v>
      </c>
      <c r="AQ604" t="s">
        <v>80</v>
      </c>
      <c r="AR604" t="s">
        <v>77</v>
      </c>
      <c r="AS604" t="s">
        <v>319</v>
      </c>
      <c r="AT604" t="s">
        <v>7236</v>
      </c>
      <c r="AU604" t="s">
        <v>83</v>
      </c>
      <c r="AV604" t="s">
        <v>7237</v>
      </c>
      <c r="AW604" t="str">
        <f>"3410590"</f>
        <v>3410590</v>
      </c>
    </row>
    <row r="605" spans="1:49">
      <c r="A605" t="str">
        <f t="shared" si="26"/>
        <v>35</v>
      </c>
      <c r="B605" t="s">
        <v>7111</v>
      </c>
      <c r="C605" t="str">
        <f>"3670"</f>
        <v>3670</v>
      </c>
      <c r="D605" t="s">
        <v>7238</v>
      </c>
      <c r="F605" t="s">
        <v>65</v>
      </c>
      <c r="G605" t="s">
        <v>116</v>
      </c>
      <c r="H605" t="s">
        <v>5441</v>
      </c>
      <c r="I605" t="s">
        <v>89</v>
      </c>
      <c r="J605" s="2" t="s">
        <v>7239</v>
      </c>
      <c r="K605" t="s">
        <v>7240</v>
      </c>
      <c r="L605" t="s">
        <v>60</v>
      </c>
      <c r="M605" t="s">
        <v>7241</v>
      </c>
      <c r="N605" t="s">
        <v>62</v>
      </c>
      <c r="O605" t="s">
        <v>7242</v>
      </c>
      <c r="P605" t="s">
        <v>7240</v>
      </c>
      <c r="S605" t="s">
        <v>7241</v>
      </c>
      <c r="T605" t="s">
        <v>62</v>
      </c>
      <c r="U605" t="str">
        <f>"07060"</f>
        <v>07060</v>
      </c>
      <c r="V605" t="str">
        <f>"4075"</f>
        <v>4075</v>
      </c>
      <c r="W605" t="s">
        <v>7243</v>
      </c>
      <c r="X605" t="s">
        <v>70</v>
      </c>
      <c r="Y605" t="s">
        <v>113</v>
      </c>
      <c r="Z605" t="s">
        <v>7244</v>
      </c>
      <c r="AA605" t="s">
        <v>135</v>
      </c>
      <c r="AB605" t="s">
        <v>77</v>
      </c>
      <c r="AC605" t="s">
        <v>328</v>
      </c>
      <c r="AD605" t="s">
        <v>7245</v>
      </c>
      <c r="AE605" t="s">
        <v>69</v>
      </c>
      <c r="AF605" t="s">
        <v>77</v>
      </c>
      <c r="AG605" t="s">
        <v>328</v>
      </c>
      <c r="AH605" t="s">
        <v>7246</v>
      </c>
      <c r="AI605" t="s">
        <v>73</v>
      </c>
      <c r="AJ605" t="s">
        <v>70</v>
      </c>
      <c r="AK605" t="s">
        <v>291</v>
      </c>
      <c r="AL605" t="s">
        <v>7245</v>
      </c>
      <c r="AM605" t="s">
        <v>76</v>
      </c>
      <c r="AN605" t="s">
        <v>77</v>
      </c>
      <c r="AO605" t="s">
        <v>7247</v>
      </c>
      <c r="AP605" t="s">
        <v>899</v>
      </c>
      <c r="AQ605" t="s">
        <v>80</v>
      </c>
      <c r="AR605" t="s">
        <v>77</v>
      </c>
      <c r="AS605" t="s">
        <v>873</v>
      </c>
      <c r="AT605" t="s">
        <v>7248</v>
      </c>
      <c r="AU605" t="s">
        <v>83</v>
      </c>
      <c r="AV605" t="s">
        <v>7249</v>
      </c>
      <c r="AW605" t="str">
        <f>"3411640"</f>
        <v>3411640</v>
      </c>
    </row>
    <row r="606" spans="1:49">
      <c r="A606" t="str">
        <f t="shared" si="26"/>
        <v>35</v>
      </c>
      <c r="B606" t="s">
        <v>7111</v>
      </c>
      <c r="C606" t="str">
        <f>"4805"</f>
        <v>4805</v>
      </c>
      <c r="D606" t="s">
        <v>7250</v>
      </c>
      <c r="F606" t="s">
        <v>77</v>
      </c>
      <c r="G606" t="s">
        <v>3119</v>
      </c>
      <c r="H606" t="s">
        <v>7251</v>
      </c>
      <c r="I606" t="s">
        <v>89</v>
      </c>
      <c r="J606" s="2" t="s">
        <v>7252</v>
      </c>
      <c r="K606" t="s">
        <v>7253</v>
      </c>
      <c r="L606" t="s">
        <v>60</v>
      </c>
      <c r="M606" t="s">
        <v>7162</v>
      </c>
      <c r="N606" t="s">
        <v>62</v>
      </c>
      <c r="O606" t="str">
        <f>"08807"</f>
        <v>08807</v>
      </c>
      <c r="P606" t="s">
        <v>7253</v>
      </c>
      <c r="S606" t="s">
        <v>7162</v>
      </c>
      <c r="T606" t="s">
        <v>62</v>
      </c>
      <c r="U606" t="str">
        <f>"08807"</f>
        <v>08807</v>
      </c>
      <c r="W606" t="s">
        <v>7254</v>
      </c>
      <c r="X606" t="s">
        <v>77</v>
      </c>
      <c r="Y606" t="s">
        <v>3970</v>
      </c>
      <c r="Z606" t="s">
        <v>7255</v>
      </c>
      <c r="AA606" t="s">
        <v>135</v>
      </c>
      <c r="AB606" t="s">
        <v>70</v>
      </c>
      <c r="AC606" t="s">
        <v>306</v>
      </c>
      <c r="AD606" t="s">
        <v>7256</v>
      </c>
      <c r="AE606" t="s">
        <v>69</v>
      </c>
      <c r="AF606" t="s">
        <v>70</v>
      </c>
      <c r="AG606" t="s">
        <v>429</v>
      </c>
      <c r="AH606" t="s">
        <v>7257</v>
      </c>
      <c r="AI606" t="s">
        <v>73</v>
      </c>
      <c r="AJ606" t="s">
        <v>70</v>
      </c>
      <c r="AK606" t="s">
        <v>429</v>
      </c>
      <c r="AL606" t="s">
        <v>7257</v>
      </c>
      <c r="AM606" t="s">
        <v>76</v>
      </c>
      <c r="AN606" t="s">
        <v>77</v>
      </c>
      <c r="AO606" t="s">
        <v>223</v>
      </c>
      <c r="AP606" t="s">
        <v>7258</v>
      </c>
      <c r="AQ606" t="s">
        <v>80</v>
      </c>
      <c r="AR606" t="s">
        <v>77</v>
      </c>
      <c r="AS606" t="s">
        <v>87</v>
      </c>
      <c r="AT606" t="s">
        <v>7259</v>
      </c>
      <c r="AU606" t="s">
        <v>83</v>
      </c>
      <c r="AV606" t="s">
        <v>7260</v>
      </c>
      <c r="AW606" t="str">
        <f>"3480280"</f>
        <v>3480280</v>
      </c>
    </row>
    <row r="607" spans="1:49">
      <c r="A607" t="str">
        <f t="shared" si="26"/>
        <v>35</v>
      </c>
      <c r="B607" t="s">
        <v>7111</v>
      </c>
      <c r="C607" t="str">
        <f>"4810"</f>
        <v>4810</v>
      </c>
      <c r="D607" t="s">
        <v>7261</v>
      </c>
      <c r="F607" t="s">
        <v>65</v>
      </c>
      <c r="G607" t="s">
        <v>7262</v>
      </c>
      <c r="H607" t="s">
        <v>7263</v>
      </c>
      <c r="I607" t="s">
        <v>89</v>
      </c>
      <c r="J607" s="2" t="s">
        <v>7264</v>
      </c>
      <c r="K607" t="s">
        <v>7265</v>
      </c>
      <c r="L607" t="s">
        <v>60</v>
      </c>
      <c r="M607" t="s">
        <v>7162</v>
      </c>
      <c r="N607" t="s">
        <v>62</v>
      </c>
      <c r="O607" t="str">
        <f>"08807"</f>
        <v>08807</v>
      </c>
      <c r="P607" t="s">
        <v>7266</v>
      </c>
      <c r="S607" t="s">
        <v>7162</v>
      </c>
      <c r="T607" t="s">
        <v>62</v>
      </c>
      <c r="U607" t="str">
        <f>"08807"</f>
        <v>08807</v>
      </c>
      <c r="W607" t="s">
        <v>7267</v>
      </c>
      <c r="X607" t="s">
        <v>70</v>
      </c>
      <c r="Y607" t="s">
        <v>7268</v>
      </c>
      <c r="Z607" t="s">
        <v>7269</v>
      </c>
      <c r="AA607" t="s">
        <v>68</v>
      </c>
      <c r="AB607" t="s">
        <v>70</v>
      </c>
      <c r="AC607" t="s">
        <v>536</v>
      </c>
      <c r="AD607" t="s">
        <v>2523</v>
      </c>
      <c r="AE607" t="s">
        <v>98</v>
      </c>
      <c r="AF607" t="s">
        <v>70</v>
      </c>
      <c r="AG607" t="s">
        <v>536</v>
      </c>
      <c r="AH607" t="s">
        <v>2523</v>
      </c>
      <c r="AI607" t="s">
        <v>73</v>
      </c>
      <c r="AJ607" t="s">
        <v>77</v>
      </c>
      <c r="AK607" t="s">
        <v>293</v>
      </c>
      <c r="AL607" t="s">
        <v>7270</v>
      </c>
      <c r="AM607" t="s">
        <v>76</v>
      </c>
      <c r="AN607" t="s">
        <v>77</v>
      </c>
      <c r="AO607" t="s">
        <v>422</v>
      </c>
      <c r="AP607" t="s">
        <v>7271</v>
      </c>
      <c r="AQ607" t="s">
        <v>80</v>
      </c>
      <c r="AR607" t="s">
        <v>65</v>
      </c>
      <c r="AS607" t="s">
        <v>7262</v>
      </c>
      <c r="AT607" t="s">
        <v>7263</v>
      </c>
      <c r="AU607" t="s">
        <v>83</v>
      </c>
      <c r="AV607" t="s">
        <v>7272</v>
      </c>
      <c r="AW607" t="str">
        <f>"3415060"</f>
        <v>3415060</v>
      </c>
    </row>
    <row r="608" spans="1:49">
      <c r="A608" t="str">
        <f t="shared" si="26"/>
        <v>35</v>
      </c>
      <c r="B608" t="s">
        <v>7111</v>
      </c>
      <c r="C608" t="str">
        <f>"4815"</f>
        <v>4815</v>
      </c>
      <c r="D608" t="s">
        <v>7273</v>
      </c>
      <c r="F608" t="s">
        <v>65</v>
      </c>
      <c r="G608" t="s">
        <v>7274</v>
      </c>
      <c r="H608" t="s">
        <v>7275</v>
      </c>
      <c r="I608" t="s">
        <v>89</v>
      </c>
      <c r="J608" s="2" t="s">
        <v>7276</v>
      </c>
      <c r="K608" t="s">
        <v>7277</v>
      </c>
      <c r="L608" t="s">
        <v>60</v>
      </c>
      <c r="M608" t="s">
        <v>7278</v>
      </c>
      <c r="N608" t="s">
        <v>62</v>
      </c>
      <c r="O608" t="str">
        <f>"07924"</f>
        <v>07924</v>
      </c>
      <c r="P608" t="s">
        <v>7277</v>
      </c>
      <c r="S608" t="s">
        <v>7278</v>
      </c>
      <c r="T608" t="s">
        <v>62</v>
      </c>
      <c r="U608" t="str">
        <f>"07924"</f>
        <v>07924</v>
      </c>
      <c r="W608" t="s">
        <v>7279</v>
      </c>
      <c r="X608" t="s">
        <v>70</v>
      </c>
      <c r="Y608" t="s">
        <v>7280</v>
      </c>
      <c r="Z608" t="s">
        <v>1562</v>
      </c>
      <c r="AA608" t="s">
        <v>68</v>
      </c>
      <c r="AB608" t="s">
        <v>70</v>
      </c>
      <c r="AC608" t="s">
        <v>1083</v>
      </c>
      <c r="AD608" t="s">
        <v>7281</v>
      </c>
      <c r="AE608" t="s">
        <v>587</v>
      </c>
      <c r="AF608" t="s">
        <v>70</v>
      </c>
      <c r="AG608" t="s">
        <v>3924</v>
      </c>
      <c r="AH608" t="s">
        <v>4177</v>
      </c>
      <c r="AI608" t="s">
        <v>73</v>
      </c>
      <c r="AJ608" t="s">
        <v>65</v>
      </c>
      <c r="AK608" t="s">
        <v>566</v>
      </c>
      <c r="AL608" t="s">
        <v>7282</v>
      </c>
      <c r="AM608" t="s">
        <v>76</v>
      </c>
      <c r="AN608" t="s">
        <v>70</v>
      </c>
      <c r="AO608" t="s">
        <v>7280</v>
      </c>
      <c r="AP608" t="s">
        <v>1562</v>
      </c>
      <c r="AQ608" t="s">
        <v>80</v>
      </c>
      <c r="AR608" t="s">
        <v>70</v>
      </c>
      <c r="AS608" t="s">
        <v>7280</v>
      </c>
      <c r="AT608" t="s">
        <v>1562</v>
      </c>
      <c r="AU608" t="s">
        <v>83</v>
      </c>
      <c r="AV608" t="s">
        <v>7283</v>
      </c>
      <c r="AW608" t="str">
        <f>"3400009"</f>
        <v>3400009</v>
      </c>
    </row>
    <row r="609" spans="1:49">
      <c r="A609" t="str">
        <f t="shared" si="26"/>
        <v>35</v>
      </c>
      <c r="B609" t="s">
        <v>7111</v>
      </c>
      <c r="C609" t="str">
        <f>"4820"</f>
        <v>4820</v>
      </c>
      <c r="D609" t="s">
        <v>7284</v>
      </c>
      <c r="F609" t="s">
        <v>65</v>
      </c>
      <c r="G609" t="s">
        <v>509</v>
      </c>
      <c r="H609" t="s">
        <v>7285</v>
      </c>
      <c r="I609" t="s">
        <v>89</v>
      </c>
      <c r="J609" s="2" t="s">
        <v>7286</v>
      </c>
      <c r="K609" t="s">
        <v>7287</v>
      </c>
      <c r="L609" t="s">
        <v>60</v>
      </c>
      <c r="M609" t="s">
        <v>7288</v>
      </c>
      <c r="N609" t="s">
        <v>62</v>
      </c>
      <c r="O609" t="str">
        <f>"08876"</f>
        <v>08876</v>
      </c>
      <c r="P609" t="s">
        <v>7287</v>
      </c>
      <c r="S609" t="s">
        <v>7288</v>
      </c>
      <c r="T609" t="s">
        <v>62</v>
      </c>
      <c r="U609" t="str">
        <f>"08876"</f>
        <v>08876</v>
      </c>
      <c r="W609" t="s">
        <v>7289</v>
      </c>
      <c r="X609" t="s">
        <v>77</v>
      </c>
      <c r="Y609" t="s">
        <v>971</v>
      </c>
      <c r="Z609" t="s">
        <v>5355</v>
      </c>
      <c r="AA609" t="s">
        <v>68</v>
      </c>
      <c r="AB609" t="s">
        <v>65</v>
      </c>
      <c r="AC609" t="s">
        <v>2252</v>
      </c>
      <c r="AD609" t="s">
        <v>4811</v>
      </c>
      <c r="AE609" t="s">
        <v>98</v>
      </c>
      <c r="AF609" t="s">
        <v>65</v>
      </c>
      <c r="AG609" t="s">
        <v>2252</v>
      </c>
      <c r="AH609" t="s">
        <v>4811</v>
      </c>
      <c r="AI609" t="s">
        <v>73</v>
      </c>
      <c r="AJ609" t="s">
        <v>77</v>
      </c>
      <c r="AK609" t="s">
        <v>287</v>
      </c>
      <c r="AL609" t="s">
        <v>7290</v>
      </c>
      <c r="AM609" t="s">
        <v>76</v>
      </c>
      <c r="AN609" t="s">
        <v>70</v>
      </c>
      <c r="AO609" t="s">
        <v>716</v>
      </c>
      <c r="AP609" t="s">
        <v>7291</v>
      </c>
      <c r="AQ609" t="s">
        <v>80</v>
      </c>
      <c r="AR609" t="s">
        <v>70</v>
      </c>
      <c r="AS609" t="s">
        <v>716</v>
      </c>
      <c r="AT609" t="s">
        <v>7291</v>
      </c>
      <c r="AU609" t="s">
        <v>83</v>
      </c>
      <c r="AV609" t="s">
        <v>7292</v>
      </c>
      <c r="AW609" t="str">
        <f>"3415090"</f>
        <v>3415090</v>
      </c>
    </row>
    <row r="610" spans="1:49">
      <c r="A610" t="str">
        <f t="shared" si="26"/>
        <v>35</v>
      </c>
      <c r="B610" t="s">
        <v>7111</v>
      </c>
      <c r="C610" t="str">
        <f>"4850"</f>
        <v>4850</v>
      </c>
      <c r="D610" t="s">
        <v>7293</v>
      </c>
      <c r="F610" t="s">
        <v>65</v>
      </c>
      <c r="G610" t="s">
        <v>7294</v>
      </c>
      <c r="H610" t="s">
        <v>7295</v>
      </c>
      <c r="I610" t="s">
        <v>57</v>
      </c>
      <c r="J610" s="2" t="s">
        <v>7296</v>
      </c>
      <c r="K610" t="s">
        <v>7297</v>
      </c>
      <c r="L610" t="s">
        <v>60</v>
      </c>
      <c r="M610" t="s">
        <v>7298</v>
      </c>
      <c r="N610" t="s">
        <v>62</v>
      </c>
      <c r="O610" t="str">
        <f>"08880"</f>
        <v>08880</v>
      </c>
      <c r="P610" t="s">
        <v>7297</v>
      </c>
      <c r="S610" t="s">
        <v>7298</v>
      </c>
      <c r="T610" t="s">
        <v>62</v>
      </c>
      <c r="U610" t="str">
        <f>"08880"</f>
        <v>08880</v>
      </c>
      <c r="W610" t="s">
        <v>7299</v>
      </c>
      <c r="X610" t="s">
        <v>77</v>
      </c>
      <c r="Y610" t="s">
        <v>281</v>
      </c>
      <c r="Z610" t="s">
        <v>7300</v>
      </c>
      <c r="AA610" t="s">
        <v>135</v>
      </c>
      <c r="AB610" t="s">
        <v>77</v>
      </c>
      <c r="AC610" t="s">
        <v>667</v>
      </c>
      <c r="AD610" t="s">
        <v>1562</v>
      </c>
      <c r="AE610" t="s">
        <v>415</v>
      </c>
      <c r="AF610" t="s">
        <v>70</v>
      </c>
      <c r="AG610" t="s">
        <v>1655</v>
      </c>
      <c r="AH610" t="s">
        <v>2040</v>
      </c>
      <c r="AI610" t="s">
        <v>73</v>
      </c>
      <c r="AJ610" t="s">
        <v>54</v>
      </c>
      <c r="AK610" t="s">
        <v>150</v>
      </c>
      <c r="AL610" t="s">
        <v>7301</v>
      </c>
      <c r="AM610" t="s">
        <v>76</v>
      </c>
      <c r="AN610" t="s">
        <v>77</v>
      </c>
      <c r="AO610" t="s">
        <v>208</v>
      </c>
      <c r="AP610" t="s">
        <v>7302</v>
      </c>
      <c r="AQ610" t="s">
        <v>80</v>
      </c>
      <c r="AR610" t="s">
        <v>77</v>
      </c>
      <c r="AS610" t="s">
        <v>281</v>
      </c>
      <c r="AT610" t="s">
        <v>7300</v>
      </c>
      <c r="AU610" t="s">
        <v>83</v>
      </c>
      <c r="AV610" t="s">
        <v>7303</v>
      </c>
      <c r="AW610" t="str">
        <f>"3415180"</f>
        <v>3415180</v>
      </c>
    </row>
    <row r="611" spans="1:49">
      <c r="A611" t="str">
        <f>"80"</f>
        <v>80</v>
      </c>
      <c r="B611" t="s">
        <v>7111</v>
      </c>
      <c r="C611" t="str">
        <f>"6081"</f>
        <v>6081</v>
      </c>
      <c r="D611" t="s">
        <v>7304</v>
      </c>
      <c r="E611" t="str">
        <f>"967"</f>
        <v>967</v>
      </c>
      <c r="F611" t="s">
        <v>77</v>
      </c>
      <c r="G611" t="s">
        <v>7305</v>
      </c>
      <c r="H611" t="s">
        <v>7306</v>
      </c>
      <c r="I611" t="s">
        <v>128</v>
      </c>
      <c r="J611" s="2" t="s">
        <v>7307</v>
      </c>
      <c r="K611" t="s">
        <v>7308</v>
      </c>
      <c r="L611" t="s">
        <v>4710</v>
      </c>
      <c r="M611" t="s">
        <v>7173</v>
      </c>
      <c r="N611" t="s">
        <v>62</v>
      </c>
      <c r="O611" t="str">
        <f>"08873"</f>
        <v>08873</v>
      </c>
      <c r="P611" t="s">
        <v>7308</v>
      </c>
      <c r="Q611" t="s">
        <v>4711</v>
      </c>
      <c r="S611" t="s">
        <v>7173</v>
      </c>
      <c r="T611" t="s">
        <v>62</v>
      </c>
      <c r="U611" t="str">
        <f>"08873"</f>
        <v>08873</v>
      </c>
      <c r="W611" t="s">
        <v>7309</v>
      </c>
      <c r="X611" t="s">
        <v>77</v>
      </c>
      <c r="Y611" t="s">
        <v>7310</v>
      </c>
      <c r="Z611" t="s">
        <v>7311</v>
      </c>
      <c r="AA611" t="s">
        <v>68</v>
      </c>
      <c r="AB611" t="s">
        <v>54</v>
      </c>
      <c r="AC611" t="s">
        <v>7312</v>
      </c>
      <c r="AD611" t="s">
        <v>7313</v>
      </c>
      <c r="AE611" t="s">
        <v>181</v>
      </c>
      <c r="AF611" t="s">
        <v>54</v>
      </c>
      <c r="AG611" t="s">
        <v>7312</v>
      </c>
      <c r="AH611" t="s">
        <v>7313</v>
      </c>
      <c r="AI611" t="s">
        <v>73</v>
      </c>
      <c r="AJ611" t="s">
        <v>54</v>
      </c>
      <c r="AK611" t="s">
        <v>7312</v>
      </c>
      <c r="AL611" t="s">
        <v>7313</v>
      </c>
      <c r="AM611" t="s">
        <v>76</v>
      </c>
      <c r="AN611" t="s">
        <v>77</v>
      </c>
      <c r="AO611" t="s">
        <v>7314</v>
      </c>
      <c r="AP611" t="s">
        <v>6190</v>
      </c>
      <c r="AQ611" t="s">
        <v>80</v>
      </c>
      <c r="AR611" t="s">
        <v>65</v>
      </c>
      <c r="AS611" t="s">
        <v>7315</v>
      </c>
      <c r="AT611" t="s">
        <v>7316</v>
      </c>
      <c r="AU611" t="s">
        <v>83</v>
      </c>
      <c r="AV611" t="s">
        <v>7317</v>
      </c>
    </row>
    <row r="612" spans="1:49">
      <c r="A612" t="str">
        <f>"35"</f>
        <v>35</v>
      </c>
      <c r="B612" t="s">
        <v>7111</v>
      </c>
      <c r="C612" t="str">
        <f>"5470"</f>
        <v>5470</v>
      </c>
      <c r="D612" t="s">
        <v>7318</v>
      </c>
      <c r="F612" t="s">
        <v>65</v>
      </c>
      <c r="G612" t="s">
        <v>281</v>
      </c>
      <c r="H612" t="s">
        <v>7319</v>
      </c>
      <c r="I612" t="s">
        <v>89</v>
      </c>
      <c r="J612" s="2" t="s">
        <v>7320</v>
      </c>
      <c r="K612" t="s">
        <v>7321</v>
      </c>
      <c r="L612" t="s">
        <v>60</v>
      </c>
      <c r="M612" t="s">
        <v>4753</v>
      </c>
      <c r="N612" t="s">
        <v>62</v>
      </c>
      <c r="O612" t="s">
        <v>7322</v>
      </c>
      <c r="P612" t="s">
        <v>7321</v>
      </c>
      <c r="S612" t="s">
        <v>4753</v>
      </c>
      <c r="T612" t="s">
        <v>62</v>
      </c>
      <c r="U612" t="str">
        <f>"07059"</f>
        <v>07059</v>
      </c>
      <c r="V612" t="str">
        <f>"5628"</f>
        <v>5628</v>
      </c>
      <c r="W612" t="s">
        <v>7323</v>
      </c>
      <c r="X612" t="s">
        <v>54</v>
      </c>
      <c r="Y612" t="s">
        <v>233</v>
      </c>
      <c r="Z612" t="s">
        <v>7324</v>
      </c>
      <c r="AA612" t="s">
        <v>135</v>
      </c>
      <c r="AB612" t="s">
        <v>77</v>
      </c>
      <c r="AC612" t="s">
        <v>5072</v>
      </c>
      <c r="AD612" t="s">
        <v>7325</v>
      </c>
      <c r="AE612" t="s">
        <v>587</v>
      </c>
      <c r="AF612" t="s">
        <v>77</v>
      </c>
      <c r="AG612" t="s">
        <v>5072</v>
      </c>
      <c r="AH612" t="s">
        <v>7325</v>
      </c>
      <c r="AI612" t="s">
        <v>73</v>
      </c>
      <c r="AJ612" t="s">
        <v>77</v>
      </c>
      <c r="AK612" t="s">
        <v>273</v>
      </c>
      <c r="AL612" t="s">
        <v>7326</v>
      </c>
      <c r="AM612" t="s">
        <v>76</v>
      </c>
      <c r="AN612" t="s">
        <v>77</v>
      </c>
      <c r="AO612" t="s">
        <v>7327</v>
      </c>
      <c r="AP612" t="s">
        <v>7328</v>
      </c>
      <c r="AQ612" t="s">
        <v>80</v>
      </c>
      <c r="AR612" t="s">
        <v>54</v>
      </c>
      <c r="AS612" t="s">
        <v>233</v>
      </c>
      <c r="AT612" t="s">
        <v>7324</v>
      </c>
      <c r="AU612" t="s">
        <v>83</v>
      </c>
      <c r="AV612" t="s">
        <v>7329</v>
      </c>
      <c r="AW612" t="str">
        <f>"3416980"</f>
        <v>3416980</v>
      </c>
    </row>
    <row r="613" spans="1:49">
      <c r="A613" t="str">
        <f>"35"</f>
        <v>35</v>
      </c>
      <c r="B613" t="s">
        <v>7111</v>
      </c>
      <c r="C613" t="str">
        <f>"5540"</f>
        <v>5540</v>
      </c>
      <c r="D613" t="s">
        <v>7330</v>
      </c>
      <c r="F613" t="s">
        <v>77</v>
      </c>
      <c r="G613" t="s">
        <v>1690</v>
      </c>
      <c r="H613" t="s">
        <v>5922</v>
      </c>
      <c r="I613" t="s">
        <v>89</v>
      </c>
      <c r="J613" s="2" t="s">
        <v>7331</v>
      </c>
      <c r="K613" t="s">
        <v>7332</v>
      </c>
      <c r="L613" t="s">
        <v>60</v>
      </c>
      <c r="M613" t="s">
        <v>7333</v>
      </c>
      <c r="N613" t="s">
        <v>62</v>
      </c>
      <c r="O613" t="str">
        <f>"07069"</f>
        <v>07069</v>
      </c>
      <c r="P613" t="s">
        <v>7332</v>
      </c>
      <c r="S613" t="s">
        <v>7333</v>
      </c>
      <c r="T613" t="s">
        <v>62</v>
      </c>
      <c r="U613" t="str">
        <f>"07069"</f>
        <v>07069</v>
      </c>
      <c r="W613" t="s">
        <v>7334</v>
      </c>
      <c r="X613" t="s">
        <v>77</v>
      </c>
      <c r="Y613" t="s">
        <v>7335</v>
      </c>
      <c r="Z613" t="s">
        <v>7336</v>
      </c>
      <c r="AA613" t="s">
        <v>135</v>
      </c>
      <c r="AB613" t="s">
        <v>70</v>
      </c>
      <c r="AC613" t="s">
        <v>371</v>
      </c>
      <c r="AD613" t="s">
        <v>7337</v>
      </c>
      <c r="AE613" t="s">
        <v>587</v>
      </c>
      <c r="AF613" t="s">
        <v>70</v>
      </c>
      <c r="AG613" t="s">
        <v>371</v>
      </c>
      <c r="AH613" t="s">
        <v>7337</v>
      </c>
      <c r="AI613" t="s">
        <v>73</v>
      </c>
      <c r="AJ613" t="s">
        <v>54</v>
      </c>
      <c r="AK613" t="s">
        <v>7338</v>
      </c>
      <c r="AL613" t="s">
        <v>7339</v>
      </c>
      <c r="AM613" t="s">
        <v>76</v>
      </c>
      <c r="AN613" t="s">
        <v>77</v>
      </c>
      <c r="AO613" t="s">
        <v>7340</v>
      </c>
      <c r="AP613" t="s">
        <v>7341</v>
      </c>
      <c r="AQ613" t="s">
        <v>80</v>
      </c>
      <c r="AR613" t="s">
        <v>77</v>
      </c>
      <c r="AS613" t="s">
        <v>1712</v>
      </c>
      <c r="AT613" t="s">
        <v>1042</v>
      </c>
      <c r="AU613" t="s">
        <v>83</v>
      </c>
      <c r="AV613" t="s">
        <v>7342</v>
      </c>
      <c r="AW613" t="str">
        <f>"3417190"</f>
        <v>3417190</v>
      </c>
    </row>
    <row r="614" spans="1:49">
      <c r="A614" t="str">
        <f>"35"</f>
        <v>35</v>
      </c>
      <c r="B614" t="s">
        <v>7111</v>
      </c>
      <c r="C614" t="str">
        <f>"5550"</f>
        <v>5550</v>
      </c>
      <c r="D614" t="s">
        <v>7343</v>
      </c>
      <c r="F614" t="s">
        <v>70</v>
      </c>
      <c r="G614" t="s">
        <v>926</v>
      </c>
      <c r="H614" t="s">
        <v>7344</v>
      </c>
      <c r="I614" t="s">
        <v>1518</v>
      </c>
      <c r="J614" s="2" t="s">
        <v>7345</v>
      </c>
      <c r="K614" t="s">
        <v>7346</v>
      </c>
      <c r="L614" t="s">
        <v>60</v>
      </c>
      <c r="M614" t="s">
        <v>4753</v>
      </c>
      <c r="N614" t="s">
        <v>62</v>
      </c>
      <c r="O614" t="s">
        <v>7347</v>
      </c>
      <c r="P614" t="s">
        <v>7346</v>
      </c>
      <c r="S614" t="s">
        <v>4753</v>
      </c>
      <c r="T614" t="s">
        <v>62</v>
      </c>
      <c r="U614" t="str">
        <f>"07059"</f>
        <v>07059</v>
      </c>
      <c r="V614" t="str">
        <f>"5000"</f>
        <v>5000</v>
      </c>
      <c r="W614" t="s">
        <v>7348</v>
      </c>
      <c r="X614" t="s">
        <v>77</v>
      </c>
      <c r="Y614" t="s">
        <v>509</v>
      </c>
      <c r="Z614" t="s">
        <v>7349</v>
      </c>
      <c r="AA614" t="s">
        <v>135</v>
      </c>
      <c r="AB614" t="s">
        <v>70</v>
      </c>
      <c r="AC614" t="s">
        <v>291</v>
      </c>
      <c r="AD614" t="s">
        <v>7350</v>
      </c>
      <c r="AE614" t="s">
        <v>69</v>
      </c>
      <c r="AF614" t="s">
        <v>77</v>
      </c>
      <c r="AG614" t="s">
        <v>534</v>
      </c>
      <c r="AH614" t="s">
        <v>7351</v>
      </c>
      <c r="AI614" t="s">
        <v>73</v>
      </c>
      <c r="AJ614" t="s">
        <v>77</v>
      </c>
      <c r="AK614" t="s">
        <v>120</v>
      </c>
      <c r="AL614" t="s">
        <v>7352</v>
      </c>
      <c r="AM614" t="s">
        <v>76</v>
      </c>
      <c r="AN614" t="s">
        <v>77</v>
      </c>
      <c r="AO614" t="s">
        <v>166</v>
      </c>
      <c r="AP614" t="s">
        <v>7353</v>
      </c>
      <c r="AQ614" t="s">
        <v>80</v>
      </c>
      <c r="AR614" t="s">
        <v>77</v>
      </c>
      <c r="AS614" t="s">
        <v>287</v>
      </c>
      <c r="AT614" t="s">
        <v>3887</v>
      </c>
      <c r="AU614" t="s">
        <v>83</v>
      </c>
      <c r="AV614" t="s">
        <v>7354</v>
      </c>
      <c r="AW614" t="str">
        <f>"3417220"</f>
        <v>3417220</v>
      </c>
    </row>
    <row r="615" spans="1:49">
      <c r="A615" t="str">
        <f t="shared" ref="A615:A637" si="27">"37"</f>
        <v>37</v>
      </c>
      <c r="B615" t="s">
        <v>7355</v>
      </c>
      <c r="C615" t="str">
        <f>"0090"</f>
        <v>0090</v>
      </c>
      <c r="D615" t="s">
        <v>7356</v>
      </c>
      <c r="F615" t="s">
        <v>77</v>
      </c>
      <c r="G615" t="s">
        <v>1067</v>
      </c>
      <c r="H615" t="s">
        <v>4866</v>
      </c>
      <c r="I615" t="s">
        <v>89</v>
      </c>
      <c r="J615" s="2" t="s">
        <v>7357</v>
      </c>
      <c r="K615" t="s">
        <v>7358</v>
      </c>
      <c r="L615" t="s">
        <v>60</v>
      </c>
      <c r="M615" t="s">
        <v>7359</v>
      </c>
      <c r="N615" t="s">
        <v>62</v>
      </c>
      <c r="O615" t="str">
        <f>"07860"</f>
        <v>07860</v>
      </c>
      <c r="P615" t="s">
        <v>7358</v>
      </c>
      <c r="S615" t="s">
        <v>7359</v>
      </c>
      <c r="T615" t="s">
        <v>62</v>
      </c>
      <c r="U615" t="str">
        <f>"07860"</f>
        <v>07860</v>
      </c>
      <c r="W615" t="s">
        <v>7360</v>
      </c>
      <c r="X615" t="s">
        <v>54</v>
      </c>
      <c r="Y615" t="s">
        <v>371</v>
      </c>
      <c r="Z615" t="s">
        <v>7361</v>
      </c>
      <c r="AA615" t="s">
        <v>135</v>
      </c>
      <c r="AB615" t="s">
        <v>70</v>
      </c>
      <c r="AC615" t="s">
        <v>162</v>
      </c>
      <c r="AD615" t="s">
        <v>974</v>
      </c>
      <c r="AE615" t="s">
        <v>69</v>
      </c>
      <c r="AF615" t="s">
        <v>77</v>
      </c>
      <c r="AG615" t="s">
        <v>971</v>
      </c>
      <c r="AH615" t="s">
        <v>5993</v>
      </c>
      <c r="AI615" t="s">
        <v>73</v>
      </c>
      <c r="AJ615" t="s">
        <v>70</v>
      </c>
      <c r="AK615" t="s">
        <v>155</v>
      </c>
      <c r="AL615" t="s">
        <v>5286</v>
      </c>
      <c r="AM615" t="s">
        <v>76</v>
      </c>
      <c r="AN615" t="s">
        <v>77</v>
      </c>
      <c r="AO615" t="s">
        <v>358</v>
      </c>
      <c r="AP615" t="s">
        <v>7362</v>
      </c>
      <c r="AQ615" t="s">
        <v>80</v>
      </c>
      <c r="AR615" t="s">
        <v>77</v>
      </c>
      <c r="AS615" t="s">
        <v>971</v>
      </c>
      <c r="AT615" t="s">
        <v>5993</v>
      </c>
      <c r="AU615" t="s">
        <v>83</v>
      </c>
      <c r="AV615" t="s">
        <v>7363</v>
      </c>
      <c r="AW615" t="str">
        <f>"3400900"</f>
        <v>3400900</v>
      </c>
    </row>
    <row r="616" spans="1:49">
      <c r="A616" t="str">
        <f t="shared" si="27"/>
        <v>37</v>
      </c>
      <c r="B616" t="s">
        <v>7355</v>
      </c>
      <c r="C616" t="str">
        <f>"0640"</f>
        <v>0640</v>
      </c>
      <c r="D616" t="s">
        <v>7364</v>
      </c>
      <c r="F616" t="s">
        <v>77</v>
      </c>
      <c r="G616" t="s">
        <v>328</v>
      </c>
      <c r="H616" t="s">
        <v>7365</v>
      </c>
      <c r="I616" t="s">
        <v>89</v>
      </c>
      <c r="J616" s="2" t="s">
        <v>7366</v>
      </c>
      <c r="K616" t="s">
        <v>7367</v>
      </c>
      <c r="L616" t="s">
        <v>60</v>
      </c>
      <c r="M616" t="s">
        <v>7368</v>
      </c>
      <c r="N616" t="s">
        <v>62</v>
      </c>
      <c r="O616" t="str">
        <f>"07874"</f>
        <v>07874</v>
      </c>
      <c r="P616" t="s">
        <v>7367</v>
      </c>
      <c r="S616" t="s">
        <v>7368</v>
      </c>
      <c r="T616" t="s">
        <v>62</v>
      </c>
      <c r="U616" t="str">
        <f>"07874"</f>
        <v>07874</v>
      </c>
      <c r="W616" t="s">
        <v>7369</v>
      </c>
      <c r="X616" t="s">
        <v>54</v>
      </c>
      <c r="Y616" t="s">
        <v>699</v>
      </c>
      <c r="Z616" t="s">
        <v>5789</v>
      </c>
      <c r="AA616" t="s">
        <v>68</v>
      </c>
      <c r="AB616" t="s">
        <v>54</v>
      </c>
      <c r="AC616" t="s">
        <v>3295</v>
      </c>
      <c r="AD616" t="s">
        <v>7370</v>
      </c>
      <c r="AE616" t="s">
        <v>433</v>
      </c>
      <c r="AF616" t="s">
        <v>77</v>
      </c>
      <c r="AG616" t="s">
        <v>509</v>
      </c>
      <c r="AH616" t="s">
        <v>7371</v>
      </c>
      <c r="AI616" t="s">
        <v>73</v>
      </c>
      <c r="AJ616" t="s">
        <v>77</v>
      </c>
      <c r="AK616" t="s">
        <v>509</v>
      </c>
      <c r="AL616" t="s">
        <v>7371</v>
      </c>
      <c r="AM616" t="s">
        <v>76</v>
      </c>
      <c r="AN616" t="s">
        <v>77</v>
      </c>
      <c r="AO616" t="s">
        <v>404</v>
      </c>
      <c r="AP616" t="s">
        <v>7372</v>
      </c>
      <c r="AQ616" t="s">
        <v>80</v>
      </c>
      <c r="AR616" t="s">
        <v>77</v>
      </c>
      <c r="AS616" t="s">
        <v>328</v>
      </c>
      <c r="AT616" t="s">
        <v>7365</v>
      </c>
      <c r="AU616" t="s">
        <v>83</v>
      </c>
      <c r="AV616" t="s">
        <v>7373</v>
      </c>
      <c r="AW616" t="str">
        <f>"3402550"</f>
        <v>3402550</v>
      </c>
    </row>
    <row r="617" spans="1:49">
      <c r="A617" t="str">
        <f t="shared" si="27"/>
        <v>37</v>
      </c>
      <c r="B617" t="s">
        <v>7355</v>
      </c>
      <c r="C617" t="str">
        <f>"1560"</f>
        <v>1560</v>
      </c>
      <c r="D617" t="s">
        <v>7374</v>
      </c>
      <c r="G617" t="s">
        <v>7375</v>
      </c>
      <c r="H617" t="s">
        <v>7376</v>
      </c>
      <c r="I617" t="s">
        <v>89</v>
      </c>
      <c r="J617" s="2" t="s">
        <v>7377</v>
      </c>
      <c r="K617" t="s">
        <v>7378</v>
      </c>
      <c r="L617" t="s">
        <v>60</v>
      </c>
      <c r="M617" t="s">
        <v>7379</v>
      </c>
      <c r="N617" t="s">
        <v>62</v>
      </c>
      <c r="O617" t="str">
        <f>"07826"</f>
        <v>07826</v>
      </c>
      <c r="P617" t="s">
        <v>7378</v>
      </c>
      <c r="S617" t="s">
        <v>7379</v>
      </c>
      <c r="T617" t="s">
        <v>62</v>
      </c>
      <c r="U617" t="str">
        <f>"07826"</f>
        <v>07826</v>
      </c>
      <c r="W617" t="s">
        <v>7380</v>
      </c>
      <c r="Y617" t="s">
        <v>287</v>
      </c>
      <c r="Z617" t="s">
        <v>7381</v>
      </c>
      <c r="AA617" t="s">
        <v>112</v>
      </c>
      <c r="AC617" t="s">
        <v>7382</v>
      </c>
      <c r="AD617" t="s">
        <v>7383</v>
      </c>
      <c r="AE617" t="s">
        <v>181</v>
      </c>
      <c r="AG617" t="s">
        <v>2012</v>
      </c>
      <c r="AH617" t="s">
        <v>7384</v>
      </c>
      <c r="AI617" t="s">
        <v>73</v>
      </c>
      <c r="AK617" t="s">
        <v>928</v>
      </c>
      <c r="AL617" t="s">
        <v>7385</v>
      </c>
      <c r="AM617" t="s">
        <v>76</v>
      </c>
      <c r="AO617" t="s">
        <v>3054</v>
      </c>
      <c r="AP617" t="s">
        <v>7386</v>
      </c>
      <c r="AQ617" t="s">
        <v>80</v>
      </c>
      <c r="AS617" t="s">
        <v>212</v>
      </c>
      <c r="AT617" t="s">
        <v>7387</v>
      </c>
      <c r="AU617" t="s">
        <v>83</v>
      </c>
      <c r="AV617" t="s">
        <v>7388</v>
      </c>
      <c r="AW617" t="str">
        <f>"3405340"</f>
        <v>3405340</v>
      </c>
    </row>
    <row r="618" spans="1:49">
      <c r="A618" t="str">
        <f t="shared" si="27"/>
        <v>37</v>
      </c>
      <c r="B618" t="s">
        <v>7355</v>
      </c>
      <c r="C618" t="str">
        <f>"1570"</f>
        <v>1570</v>
      </c>
      <c r="D618" t="s">
        <v>7389</v>
      </c>
      <c r="F618" t="s">
        <v>77</v>
      </c>
      <c r="G618" t="s">
        <v>328</v>
      </c>
      <c r="H618" t="s">
        <v>5990</v>
      </c>
      <c r="I618" t="s">
        <v>57</v>
      </c>
      <c r="J618" s="2" t="s">
        <v>7390</v>
      </c>
      <c r="K618" t="s">
        <v>7391</v>
      </c>
      <c r="L618" t="s">
        <v>60</v>
      </c>
      <c r="M618" t="s">
        <v>1785</v>
      </c>
      <c r="N618" t="s">
        <v>62</v>
      </c>
      <c r="O618" t="str">
        <f>"07416"</f>
        <v>07416</v>
      </c>
      <c r="P618" t="s">
        <v>7391</v>
      </c>
      <c r="S618" t="s">
        <v>1785</v>
      </c>
      <c r="T618" t="s">
        <v>62</v>
      </c>
      <c r="U618" t="str">
        <f>"07416"</f>
        <v>07416</v>
      </c>
      <c r="W618" t="s">
        <v>7392</v>
      </c>
      <c r="X618" t="s">
        <v>54</v>
      </c>
      <c r="Y618" t="s">
        <v>353</v>
      </c>
      <c r="Z618" t="s">
        <v>2400</v>
      </c>
      <c r="AA618" t="s">
        <v>135</v>
      </c>
      <c r="AB618" t="s">
        <v>54</v>
      </c>
      <c r="AC618" t="s">
        <v>1298</v>
      </c>
      <c r="AD618" t="s">
        <v>7393</v>
      </c>
      <c r="AE618" t="s">
        <v>181</v>
      </c>
      <c r="AF618" t="s">
        <v>65</v>
      </c>
      <c r="AG618" t="s">
        <v>150</v>
      </c>
      <c r="AH618" t="s">
        <v>7394</v>
      </c>
      <c r="AI618" t="s">
        <v>73</v>
      </c>
      <c r="AJ618" t="s">
        <v>54</v>
      </c>
      <c r="AK618" t="s">
        <v>2185</v>
      </c>
      <c r="AL618" t="s">
        <v>7395</v>
      </c>
      <c r="AM618" t="s">
        <v>76</v>
      </c>
      <c r="AN618" t="s">
        <v>77</v>
      </c>
      <c r="AO618" t="s">
        <v>7396</v>
      </c>
      <c r="AP618" t="s">
        <v>7397</v>
      </c>
      <c r="AQ618" t="s">
        <v>80</v>
      </c>
      <c r="AR618" t="s">
        <v>65</v>
      </c>
      <c r="AS618" t="s">
        <v>150</v>
      </c>
      <c r="AT618" t="s">
        <v>7394</v>
      </c>
      <c r="AU618" t="s">
        <v>83</v>
      </c>
      <c r="AV618" t="s">
        <v>7398</v>
      </c>
      <c r="AW618" t="str">
        <f>"3405400"</f>
        <v>3405400</v>
      </c>
    </row>
    <row r="619" spans="1:49">
      <c r="A619" t="str">
        <f t="shared" si="27"/>
        <v>37</v>
      </c>
      <c r="B619" t="s">
        <v>7355</v>
      </c>
      <c r="C619" t="str">
        <f>"1630"</f>
        <v>1630</v>
      </c>
      <c r="D619" t="s">
        <v>7399</v>
      </c>
      <c r="F619" t="s">
        <v>77</v>
      </c>
      <c r="G619" t="s">
        <v>281</v>
      </c>
      <c r="H619" t="s">
        <v>5285</v>
      </c>
      <c r="I619" t="s">
        <v>57</v>
      </c>
      <c r="J619" s="2" t="s">
        <v>7400</v>
      </c>
      <c r="K619" t="s">
        <v>7401</v>
      </c>
      <c r="L619" t="s">
        <v>60</v>
      </c>
      <c r="M619" t="s">
        <v>4909</v>
      </c>
      <c r="N619" t="s">
        <v>62</v>
      </c>
      <c r="O619" t="s">
        <v>7402</v>
      </c>
      <c r="P619" t="s">
        <v>7401</v>
      </c>
      <c r="S619" t="s">
        <v>4909</v>
      </c>
      <c r="T619" t="s">
        <v>62</v>
      </c>
      <c r="U619" t="str">
        <f>"07860"</f>
        <v>07860</v>
      </c>
      <c r="V619" t="str">
        <f>"5018"</f>
        <v>5018</v>
      </c>
      <c r="W619" t="s">
        <v>7403</v>
      </c>
      <c r="X619" t="s">
        <v>54</v>
      </c>
      <c r="Y619" t="s">
        <v>429</v>
      </c>
      <c r="Z619" t="s">
        <v>6055</v>
      </c>
      <c r="AA619" t="s">
        <v>135</v>
      </c>
      <c r="AB619" t="s">
        <v>70</v>
      </c>
      <c r="AC619" t="s">
        <v>7404</v>
      </c>
      <c r="AD619" t="s">
        <v>7405</v>
      </c>
      <c r="AE619" t="s">
        <v>98</v>
      </c>
      <c r="AF619" t="s">
        <v>77</v>
      </c>
      <c r="AG619" t="s">
        <v>281</v>
      </c>
      <c r="AH619" t="s">
        <v>5285</v>
      </c>
      <c r="AI619" t="s">
        <v>73</v>
      </c>
      <c r="AJ619" t="s">
        <v>77</v>
      </c>
      <c r="AK619" t="s">
        <v>281</v>
      </c>
      <c r="AL619" t="s">
        <v>5285</v>
      </c>
      <c r="AM619" t="s">
        <v>76</v>
      </c>
      <c r="AN619" t="s">
        <v>77</v>
      </c>
      <c r="AO619" t="s">
        <v>1099</v>
      </c>
      <c r="AP619" t="s">
        <v>7406</v>
      </c>
      <c r="AQ619" t="s">
        <v>80</v>
      </c>
      <c r="AR619" t="s">
        <v>77</v>
      </c>
      <c r="AS619" t="s">
        <v>281</v>
      </c>
      <c r="AT619" t="s">
        <v>5285</v>
      </c>
      <c r="AU619" t="s">
        <v>83</v>
      </c>
      <c r="AV619" t="s">
        <v>7407</v>
      </c>
      <c r="AW619" t="str">
        <f>"3405550"</f>
        <v>3405550</v>
      </c>
    </row>
    <row r="620" spans="1:49">
      <c r="A620" t="str">
        <f t="shared" si="27"/>
        <v>37</v>
      </c>
      <c r="B620" t="s">
        <v>7355</v>
      </c>
      <c r="C620" t="str">
        <f>"1800"</f>
        <v>1800</v>
      </c>
      <c r="D620" t="s">
        <v>7408</v>
      </c>
      <c r="F620" t="s">
        <v>65</v>
      </c>
      <c r="G620" t="s">
        <v>3479</v>
      </c>
      <c r="H620" t="s">
        <v>7409</v>
      </c>
      <c r="I620" t="s">
        <v>408</v>
      </c>
      <c r="J620" s="2" t="s">
        <v>7410</v>
      </c>
      <c r="K620" t="s">
        <v>7411</v>
      </c>
      <c r="L620" t="s">
        <v>60</v>
      </c>
      <c r="M620" t="s">
        <v>7412</v>
      </c>
      <c r="N620" t="s">
        <v>62</v>
      </c>
      <c r="O620" t="str">
        <f>"07839"</f>
        <v>07839</v>
      </c>
      <c r="P620" t="s">
        <v>7413</v>
      </c>
      <c r="S620" t="s">
        <v>7412</v>
      </c>
      <c r="T620" t="s">
        <v>62</v>
      </c>
      <c r="U620" t="str">
        <f>"07839"</f>
        <v>07839</v>
      </c>
      <c r="W620" t="s">
        <v>7414</v>
      </c>
      <c r="X620" t="s">
        <v>70</v>
      </c>
      <c r="Y620" t="s">
        <v>94</v>
      </c>
      <c r="Z620" t="s">
        <v>7415</v>
      </c>
      <c r="AA620" t="s">
        <v>68</v>
      </c>
      <c r="AB620" t="s">
        <v>70</v>
      </c>
      <c r="AC620" t="s">
        <v>853</v>
      </c>
      <c r="AD620" t="s">
        <v>3577</v>
      </c>
      <c r="AE620" t="s">
        <v>181</v>
      </c>
      <c r="AF620" t="s">
        <v>77</v>
      </c>
      <c r="AG620" t="s">
        <v>7416</v>
      </c>
      <c r="AH620" t="s">
        <v>7417</v>
      </c>
      <c r="AI620" t="s">
        <v>73</v>
      </c>
      <c r="AJ620" t="s">
        <v>77</v>
      </c>
      <c r="AK620" t="s">
        <v>7416</v>
      </c>
      <c r="AL620" t="s">
        <v>7417</v>
      </c>
      <c r="AM620" t="s">
        <v>76</v>
      </c>
      <c r="AN620" t="s">
        <v>70</v>
      </c>
      <c r="AO620" t="s">
        <v>220</v>
      </c>
      <c r="AP620" t="s">
        <v>7418</v>
      </c>
      <c r="AQ620" t="s">
        <v>80</v>
      </c>
      <c r="AR620" t="s">
        <v>77</v>
      </c>
      <c r="AS620" t="s">
        <v>7416</v>
      </c>
      <c r="AT620" t="s">
        <v>7417</v>
      </c>
      <c r="AU620" t="s">
        <v>83</v>
      </c>
      <c r="AV620" t="s">
        <v>7419</v>
      </c>
      <c r="AW620" t="str">
        <f>"3406090"</f>
        <v>3406090</v>
      </c>
    </row>
    <row r="621" spans="1:49">
      <c r="A621" t="str">
        <f t="shared" si="27"/>
        <v>37</v>
      </c>
      <c r="B621" t="s">
        <v>7355</v>
      </c>
      <c r="C621" t="str">
        <f>"1930"</f>
        <v>1930</v>
      </c>
      <c r="D621" t="s">
        <v>7420</v>
      </c>
      <c r="F621" t="s">
        <v>54</v>
      </c>
      <c r="G621" t="s">
        <v>251</v>
      </c>
      <c r="H621" t="s">
        <v>7421</v>
      </c>
      <c r="I621" t="s">
        <v>89</v>
      </c>
      <c r="J621" s="2" t="s">
        <v>7422</v>
      </c>
      <c r="K621" t="s">
        <v>7423</v>
      </c>
      <c r="L621" t="s">
        <v>60</v>
      </c>
      <c r="M621" t="s">
        <v>7424</v>
      </c>
      <c r="N621" t="s">
        <v>62</v>
      </c>
      <c r="O621" t="str">
        <f>"07419"</f>
        <v>07419</v>
      </c>
      <c r="P621" t="s">
        <v>7423</v>
      </c>
      <c r="S621" t="s">
        <v>7424</v>
      </c>
      <c r="T621" t="s">
        <v>62</v>
      </c>
      <c r="U621" t="str">
        <f>"07419"</f>
        <v>07419</v>
      </c>
      <c r="W621" t="s">
        <v>7425</v>
      </c>
      <c r="X621" t="s">
        <v>77</v>
      </c>
      <c r="Y621" t="s">
        <v>273</v>
      </c>
      <c r="Z621" t="s">
        <v>7426</v>
      </c>
      <c r="AA621" t="s">
        <v>135</v>
      </c>
      <c r="AB621" t="s">
        <v>77</v>
      </c>
      <c r="AC621" t="s">
        <v>873</v>
      </c>
      <c r="AD621" t="s">
        <v>7427</v>
      </c>
      <c r="AE621" t="s">
        <v>415</v>
      </c>
      <c r="AF621" t="s">
        <v>77</v>
      </c>
      <c r="AG621" t="s">
        <v>873</v>
      </c>
      <c r="AH621" t="s">
        <v>7427</v>
      </c>
      <c r="AI621" t="s">
        <v>73</v>
      </c>
      <c r="AJ621" t="s">
        <v>54</v>
      </c>
      <c r="AK621" t="s">
        <v>291</v>
      </c>
      <c r="AL621" t="s">
        <v>7428</v>
      </c>
      <c r="AM621" t="s">
        <v>76</v>
      </c>
      <c r="AN621" t="s">
        <v>54</v>
      </c>
      <c r="AO621" t="s">
        <v>291</v>
      </c>
      <c r="AP621" t="s">
        <v>7428</v>
      </c>
      <c r="AQ621" t="s">
        <v>80</v>
      </c>
      <c r="AR621" t="s">
        <v>54</v>
      </c>
      <c r="AS621" t="s">
        <v>251</v>
      </c>
      <c r="AT621" t="s">
        <v>7421</v>
      </c>
      <c r="AU621" t="s">
        <v>83</v>
      </c>
      <c r="AV621" t="s">
        <v>7429</v>
      </c>
      <c r="AW621" t="str">
        <f>"3406480"</f>
        <v>3406480</v>
      </c>
    </row>
    <row r="622" spans="1:49">
      <c r="A622" t="str">
        <f t="shared" si="27"/>
        <v>37</v>
      </c>
      <c r="B622" t="s">
        <v>7355</v>
      </c>
      <c r="C622" t="str">
        <f>"1980"</f>
        <v>1980</v>
      </c>
      <c r="D622" t="s">
        <v>7430</v>
      </c>
      <c r="F622" t="s">
        <v>77</v>
      </c>
      <c r="G622" t="s">
        <v>1128</v>
      </c>
      <c r="H622" t="s">
        <v>7431</v>
      </c>
      <c r="I622" t="s">
        <v>89</v>
      </c>
      <c r="J622" s="2" t="s">
        <v>7432</v>
      </c>
      <c r="K622" t="s">
        <v>7433</v>
      </c>
      <c r="L622" t="s">
        <v>60</v>
      </c>
      <c r="M622" t="s">
        <v>4909</v>
      </c>
      <c r="N622" t="s">
        <v>62</v>
      </c>
      <c r="O622" t="str">
        <f>"07860"</f>
        <v>07860</v>
      </c>
      <c r="P622" t="s">
        <v>7433</v>
      </c>
      <c r="S622" t="s">
        <v>4909</v>
      </c>
      <c r="T622" t="s">
        <v>62</v>
      </c>
      <c r="U622" t="str">
        <f>"07860"</f>
        <v>07860</v>
      </c>
      <c r="W622" t="s">
        <v>7434</v>
      </c>
      <c r="X622" t="s">
        <v>54</v>
      </c>
      <c r="Y622" t="s">
        <v>4900</v>
      </c>
      <c r="Z622" t="s">
        <v>7435</v>
      </c>
      <c r="AA622" t="s">
        <v>112</v>
      </c>
      <c r="AB622" t="s">
        <v>77</v>
      </c>
      <c r="AC622" t="s">
        <v>2230</v>
      </c>
      <c r="AD622" t="s">
        <v>7436</v>
      </c>
      <c r="AE622" t="s">
        <v>415</v>
      </c>
      <c r="AF622" t="s">
        <v>77</v>
      </c>
      <c r="AG622" t="s">
        <v>2230</v>
      </c>
      <c r="AH622" t="s">
        <v>7436</v>
      </c>
      <c r="AI622" t="s">
        <v>73</v>
      </c>
      <c r="AJ622" t="s">
        <v>65</v>
      </c>
      <c r="AK622" t="s">
        <v>651</v>
      </c>
      <c r="AL622" t="s">
        <v>1949</v>
      </c>
      <c r="AM622" t="s">
        <v>76</v>
      </c>
      <c r="AN622" t="s">
        <v>65</v>
      </c>
      <c r="AO622" t="s">
        <v>651</v>
      </c>
      <c r="AP622" t="s">
        <v>1949</v>
      </c>
      <c r="AQ622" t="s">
        <v>80</v>
      </c>
      <c r="AR622" t="s">
        <v>77</v>
      </c>
      <c r="AS622" t="s">
        <v>2230</v>
      </c>
      <c r="AT622" t="s">
        <v>7436</v>
      </c>
      <c r="AU622" t="s">
        <v>83</v>
      </c>
      <c r="AV622" t="s">
        <v>7437</v>
      </c>
      <c r="AW622" t="str">
        <f>"3406630"</f>
        <v>3406630</v>
      </c>
    </row>
    <row r="623" spans="1:49">
      <c r="A623" t="str">
        <f t="shared" si="27"/>
        <v>37</v>
      </c>
      <c r="B623" t="s">
        <v>7355</v>
      </c>
      <c r="C623" t="str">
        <f>"2030"</f>
        <v>2030</v>
      </c>
      <c r="D623" t="s">
        <v>7438</v>
      </c>
      <c r="G623" t="s">
        <v>120</v>
      </c>
      <c r="H623" t="s">
        <v>7395</v>
      </c>
      <c r="I623" t="s">
        <v>57</v>
      </c>
      <c r="J623" s="2" t="s">
        <v>7439</v>
      </c>
      <c r="K623" t="s">
        <v>7440</v>
      </c>
      <c r="L623" t="s">
        <v>60</v>
      </c>
      <c r="M623" t="s">
        <v>7424</v>
      </c>
      <c r="N623" t="s">
        <v>62</v>
      </c>
      <c r="O623" t="str">
        <f>"07419"</f>
        <v>07419</v>
      </c>
      <c r="P623" t="s">
        <v>7440</v>
      </c>
      <c r="S623" t="s">
        <v>7424</v>
      </c>
      <c r="T623" t="s">
        <v>62</v>
      </c>
      <c r="U623" t="str">
        <f>"07419"</f>
        <v>07419</v>
      </c>
      <c r="W623" t="s">
        <v>7441</v>
      </c>
      <c r="Y623" t="s">
        <v>223</v>
      </c>
      <c r="Z623" t="s">
        <v>7442</v>
      </c>
      <c r="AA623" t="s">
        <v>135</v>
      </c>
      <c r="AC623" t="s">
        <v>2082</v>
      </c>
      <c r="AD623" t="s">
        <v>7443</v>
      </c>
      <c r="AE623" t="s">
        <v>98</v>
      </c>
      <c r="AG623" t="s">
        <v>873</v>
      </c>
      <c r="AH623" t="s">
        <v>7444</v>
      </c>
      <c r="AI623" t="s">
        <v>73</v>
      </c>
      <c r="AK623" t="s">
        <v>155</v>
      </c>
      <c r="AL623" t="s">
        <v>7445</v>
      </c>
      <c r="AM623" t="s">
        <v>76</v>
      </c>
      <c r="AO623" t="s">
        <v>87</v>
      </c>
      <c r="AP623" t="s">
        <v>7446</v>
      </c>
      <c r="AQ623" t="s">
        <v>80</v>
      </c>
      <c r="AS623" t="s">
        <v>873</v>
      </c>
      <c r="AT623" t="s">
        <v>7444</v>
      </c>
      <c r="AU623" t="s">
        <v>83</v>
      </c>
      <c r="AV623" t="s">
        <v>7447</v>
      </c>
      <c r="AW623" t="str">
        <f>"3406780"</f>
        <v>3406780</v>
      </c>
    </row>
    <row r="624" spans="1:49">
      <c r="A624" t="str">
        <f t="shared" si="27"/>
        <v>37</v>
      </c>
      <c r="B624" t="s">
        <v>7355</v>
      </c>
      <c r="C624" t="str">
        <f>"2165"</f>
        <v>2165</v>
      </c>
      <c r="D624" t="s">
        <v>7448</v>
      </c>
      <c r="F624" t="s">
        <v>65</v>
      </c>
      <c r="G624" t="s">
        <v>436</v>
      </c>
      <c r="H624" t="s">
        <v>7449</v>
      </c>
      <c r="I624" t="s">
        <v>89</v>
      </c>
      <c r="J624" s="2" t="s">
        <v>7450</v>
      </c>
      <c r="K624" t="s">
        <v>7451</v>
      </c>
      <c r="L624" t="s">
        <v>60</v>
      </c>
      <c r="M624" t="s">
        <v>7355</v>
      </c>
      <c r="N624" t="s">
        <v>62</v>
      </c>
      <c r="O624" t="s">
        <v>7452</v>
      </c>
      <c r="P624" t="s">
        <v>7451</v>
      </c>
      <c r="S624" t="s">
        <v>7355</v>
      </c>
      <c r="T624" t="s">
        <v>62</v>
      </c>
      <c r="U624" t="str">
        <f>"07461"</f>
        <v>07461</v>
      </c>
      <c r="V624" t="str">
        <f>"2732"</f>
        <v>2732</v>
      </c>
      <c r="W624" t="s">
        <v>7453</v>
      </c>
      <c r="X624" t="s">
        <v>70</v>
      </c>
      <c r="Y624" t="s">
        <v>94</v>
      </c>
      <c r="Z624" t="s">
        <v>7415</v>
      </c>
      <c r="AA624" t="s">
        <v>68</v>
      </c>
      <c r="AB624" t="s">
        <v>77</v>
      </c>
      <c r="AC624" t="s">
        <v>7454</v>
      </c>
      <c r="AD624" t="s">
        <v>1967</v>
      </c>
      <c r="AE624" t="s">
        <v>115</v>
      </c>
      <c r="AF624" t="s">
        <v>77</v>
      </c>
      <c r="AG624" t="s">
        <v>7455</v>
      </c>
      <c r="AH624" t="s">
        <v>3793</v>
      </c>
      <c r="AI624" t="s">
        <v>73</v>
      </c>
      <c r="AJ624" t="s">
        <v>77</v>
      </c>
      <c r="AK624" t="s">
        <v>7455</v>
      </c>
      <c r="AL624" t="s">
        <v>3793</v>
      </c>
      <c r="AM624" t="s">
        <v>76</v>
      </c>
      <c r="AN624" t="s">
        <v>77</v>
      </c>
      <c r="AO624" t="s">
        <v>87</v>
      </c>
      <c r="AP624" t="s">
        <v>7456</v>
      </c>
      <c r="AQ624" t="s">
        <v>80</v>
      </c>
      <c r="AR624" t="s">
        <v>77</v>
      </c>
      <c r="AS624" t="s">
        <v>182</v>
      </c>
      <c r="AT624" t="s">
        <v>7457</v>
      </c>
      <c r="AU624" t="s">
        <v>83</v>
      </c>
      <c r="AV624" t="s">
        <v>7458</v>
      </c>
      <c r="AW624" t="str">
        <f>"3407140"</f>
        <v>3407140</v>
      </c>
    </row>
    <row r="625" spans="1:49">
      <c r="A625" t="str">
        <f t="shared" si="27"/>
        <v>37</v>
      </c>
      <c r="B625" t="s">
        <v>7355</v>
      </c>
      <c r="C625" t="str">
        <f>"2240"</f>
        <v>2240</v>
      </c>
      <c r="D625" t="s">
        <v>7459</v>
      </c>
      <c r="F625" t="s">
        <v>77</v>
      </c>
      <c r="G625" t="s">
        <v>3719</v>
      </c>
      <c r="H625" t="s">
        <v>7460</v>
      </c>
      <c r="I625" t="s">
        <v>89</v>
      </c>
      <c r="J625" s="2" t="s">
        <v>7461</v>
      </c>
      <c r="K625" t="s">
        <v>7462</v>
      </c>
      <c r="L625" t="s">
        <v>60</v>
      </c>
      <c r="M625" t="s">
        <v>7463</v>
      </c>
      <c r="N625" t="s">
        <v>62</v>
      </c>
      <c r="O625" t="str">
        <f>"07843"</f>
        <v>07843</v>
      </c>
      <c r="P625" t="s">
        <v>7464</v>
      </c>
      <c r="S625" t="s">
        <v>7463</v>
      </c>
      <c r="T625" t="s">
        <v>62</v>
      </c>
      <c r="U625" t="str">
        <f>"07843"</f>
        <v>07843</v>
      </c>
      <c r="W625" t="s">
        <v>7465</v>
      </c>
      <c r="X625" t="s">
        <v>77</v>
      </c>
      <c r="Y625" t="s">
        <v>3970</v>
      </c>
      <c r="Z625" t="s">
        <v>7466</v>
      </c>
      <c r="AA625" t="s">
        <v>68</v>
      </c>
      <c r="AB625" t="s">
        <v>54</v>
      </c>
      <c r="AC625" t="s">
        <v>356</v>
      </c>
      <c r="AD625" t="s">
        <v>1622</v>
      </c>
      <c r="AE625" t="s">
        <v>415</v>
      </c>
      <c r="AF625" t="s">
        <v>54</v>
      </c>
      <c r="AG625" t="s">
        <v>3970</v>
      </c>
      <c r="AH625" t="s">
        <v>7466</v>
      </c>
      <c r="AI625" t="s">
        <v>73</v>
      </c>
      <c r="AJ625" t="s">
        <v>77</v>
      </c>
      <c r="AK625" t="s">
        <v>3970</v>
      </c>
      <c r="AL625" t="s">
        <v>7466</v>
      </c>
      <c r="AM625" t="s">
        <v>76</v>
      </c>
      <c r="AR625" t="s">
        <v>77</v>
      </c>
      <c r="AS625" t="s">
        <v>3970</v>
      </c>
      <c r="AT625" t="s">
        <v>7466</v>
      </c>
      <c r="AU625" t="s">
        <v>83</v>
      </c>
      <c r="AV625" t="s">
        <v>7467</v>
      </c>
      <c r="AW625" t="str">
        <f>"3407440"</f>
        <v>3407440</v>
      </c>
    </row>
    <row r="626" spans="1:49">
      <c r="A626" t="str">
        <f t="shared" si="27"/>
        <v>37</v>
      </c>
      <c r="B626" t="s">
        <v>7355</v>
      </c>
      <c r="C626" t="str">
        <f>"2465"</f>
        <v>2465</v>
      </c>
      <c r="D626" t="s">
        <v>7468</v>
      </c>
      <c r="F626" t="s">
        <v>65</v>
      </c>
      <c r="G626" t="s">
        <v>1128</v>
      </c>
      <c r="H626" t="s">
        <v>7431</v>
      </c>
      <c r="I626" t="s">
        <v>89</v>
      </c>
      <c r="J626" s="2" t="s">
        <v>7469</v>
      </c>
      <c r="K626" t="s">
        <v>7470</v>
      </c>
      <c r="L626" t="s">
        <v>60</v>
      </c>
      <c r="M626" t="s">
        <v>4909</v>
      </c>
      <c r="N626" t="s">
        <v>62</v>
      </c>
      <c r="O626" t="str">
        <f>"07860"</f>
        <v>07860</v>
      </c>
      <c r="P626" t="s">
        <v>7470</v>
      </c>
      <c r="S626" t="s">
        <v>4909</v>
      </c>
      <c r="T626" t="s">
        <v>62</v>
      </c>
      <c r="U626" t="str">
        <f>"07860"</f>
        <v>07860</v>
      </c>
      <c r="W626" t="s">
        <v>7471</v>
      </c>
      <c r="X626" t="s">
        <v>54</v>
      </c>
      <c r="Y626" t="s">
        <v>186</v>
      </c>
      <c r="Z626" t="s">
        <v>2040</v>
      </c>
      <c r="AA626" t="s">
        <v>135</v>
      </c>
      <c r="AB626" t="s">
        <v>54</v>
      </c>
      <c r="AC626" t="s">
        <v>7404</v>
      </c>
      <c r="AD626" t="s">
        <v>7405</v>
      </c>
      <c r="AE626" t="s">
        <v>69</v>
      </c>
      <c r="AF626" t="s">
        <v>54</v>
      </c>
      <c r="AG626" t="s">
        <v>140</v>
      </c>
      <c r="AH626" t="s">
        <v>7472</v>
      </c>
      <c r="AI626" t="s">
        <v>73</v>
      </c>
      <c r="AJ626" t="s">
        <v>77</v>
      </c>
      <c r="AK626" t="s">
        <v>4854</v>
      </c>
      <c r="AL626" t="s">
        <v>7473</v>
      </c>
      <c r="AM626" t="s">
        <v>76</v>
      </c>
      <c r="AR626" t="s">
        <v>77</v>
      </c>
      <c r="AS626" t="s">
        <v>873</v>
      </c>
      <c r="AT626" t="s">
        <v>5789</v>
      </c>
      <c r="AU626" t="s">
        <v>83</v>
      </c>
      <c r="AV626" t="s">
        <v>7474</v>
      </c>
      <c r="AW626" t="str">
        <f>"3408060"</f>
        <v>3408060</v>
      </c>
    </row>
    <row r="627" spans="1:49">
      <c r="A627" t="str">
        <f t="shared" si="27"/>
        <v>37</v>
      </c>
      <c r="B627" t="s">
        <v>7355</v>
      </c>
      <c r="C627" t="str">
        <f>"2490"</f>
        <v>2490</v>
      </c>
      <c r="D627" t="s">
        <v>7475</v>
      </c>
      <c r="F627" t="s">
        <v>54</v>
      </c>
      <c r="G627" t="s">
        <v>2456</v>
      </c>
      <c r="H627" t="s">
        <v>7476</v>
      </c>
      <c r="I627" t="s">
        <v>89</v>
      </c>
      <c r="J627" s="2" t="s">
        <v>7477</v>
      </c>
      <c r="K627" t="s">
        <v>7478</v>
      </c>
      <c r="L627" t="s">
        <v>60</v>
      </c>
      <c r="M627" t="s">
        <v>7479</v>
      </c>
      <c r="N627" t="s">
        <v>62</v>
      </c>
      <c r="O627" t="str">
        <f>"07848"</f>
        <v>07848</v>
      </c>
      <c r="P627" t="s">
        <v>7478</v>
      </c>
      <c r="S627" t="s">
        <v>7479</v>
      </c>
      <c r="T627" t="s">
        <v>62</v>
      </c>
      <c r="U627" t="str">
        <f>"07848"</f>
        <v>07848</v>
      </c>
      <c r="W627" t="s">
        <v>7480</v>
      </c>
      <c r="X627" t="s">
        <v>54</v>
      </c>
      <c r="Y627" t="s">
        <v>7481</v>
      </c>
      <c r="Z627" t="s">
        <v>7482</v>
      </c>
      <c r="AA627" t="s">
        <v>112</v>
      </c>
      <c r="AB627" t="s">
        <v>54</v>
      </c>
      <c r="AC627" t="s">
        <v>2456</v>
      </c>
      <c r="AD627" t="s">
        <v>7476</v>
      </c>
      <c r="AE627" t="s">
        <v>415</v>
      </c>
      <c r="AF627" t="s">
        <v>77</v>
      </c>
      <c r="AG627" t="s">
        <v>3619</v>
      </c>
      <c r="AH627" t="s">
        <v>7483</v>
      </c>
      <c r="AI627" t="s">
        <v>73</v>
      </c>
      <c r="AJ627" t="s">
        <v>77</v>
      </c>
      <c r="AK627" t="s">
        <v>7484</v>
      </c>
      <c r="AL627" t="s">
        <v>7485</v>
      </c>
      <c r="AM627" t="s">
        <v>76</v>
      </c>
      <c r="AN627" t="s">
        <v>77</v>
      </c>
      <c r="AO627" t="s">
        <v>319</v>
      </c>
      <c r="AP627" t="s">
        <v>7486</v>
      </c>
      <c r="AQ627" t="s">
        <v>80</v>
      </c>
      <c r="AR627" t="s">
        <v>77</v>
      </c>
      <c r="AS627" t="s">
        <v>7484</v>
      </c>
      <c r="AT627" t="s">
        <v>7485</v>
      </c>
      <c r="AU627" t="s">
        <v>83</v>
      </c>
      <c r="AV627" t="s">
        <v>7487</v>
      </c>
      <c r="AW627" t="str">
        <f>"3408130"</f>
        <v>3408130</v>
      </c>
    </row>
    <row r="628" spans="1:49">
      <c r="A628" t="str">
        <f t="shared" si="27"/>
        <v>37</v>
      </c>
      <c r="B628" t="s">
        <v>7355</v>
      </c>
      <c r="C628" t="str">
        <f>"2615"</f>
        <v>2615</v>
      </c>
      <c r="D628" t="s">
        <v>7488</v>
      </c>
      <c r="F628" t="s">
        <v>77</v>
      </c>
      <c r="G628" t="s">
        <v>555</v>
      </c>
      <c r="H628" t="s">
        <v>7489</v>
      </c>
      <c r="I628" t="s">
        <v>57</v>
      </c>
      <c r="J628" s="2" t="s">
        <v>7490</v>
      </c>
      <c r="K628" t="s">
        <v>7491</v>
      </c>
      <c r="L628" t="s">
        <v>60</v>
      </c>
      <c r="M628" t="s">
        <v>7368</v>
      </c>
      <c r="N628" t="s">
        <v>62</v>
      </c>
      <c r="O628" t="str">
        <f>"07874"</f>
        <v>07874</v>
      </c>
      <c r="P628" t="s">
        <v>7492</v>
      </c>
      <c r="S628" t="s">
        <v>7368</v>
      </c>
      <c r="T628" t="s">
        <v>62</v>
      </c>
      <c r="U628" t="str">
        <f>"07874"</f>
        <v>07874</v>
      </c>
      <c r="W628" t="s">
        <v>7493</v>
      </c>
      <c r="X628" t="s">
        <v>77</v>
      </c>
      <c r="Y628" t="s">
        <v>873</v>
      </c>
      <c r="Z628" t="s">
        <v>7494</v>
      </c>
      <c r="AA628" t="s">
        <v>135</v>
      </c>
      <c r="AB628" t="s">
        <v>54</v>
      </c>
      <c r="AC628" t="s">
        <v>7495</v>
      </c>
      <c r="AD628" t="s">
        <v>7496</v>
      </c>
      <c r="AE628" t="s">
        <v>913</v>
      </c>
      <c r="AF628" t="s">
        <v>77</v>
      </c>
      <c r="AG628" t="s">
        <v>319</v>
      </c>
      <c r="AH628" t="s">
        <v>7497</v>
      </c>
      <c r="AI628" t="s">
        <v>73</v>
      </c>
      <c r="AJ628" t="s">
        <v>54</v>
      </c>
      <c r="AK628" t="s">
        <v>2015</v>
      </c>
      <c r="AL628" t="s">
        <v>7498</v>
      </c>
      <c r="AM628" t="s">
        <v>76</v>
      </c>
      <c r="AN628" t="s">
        <v>77</v>
      </c>
      <c r="AO628" t="s">
        <v>6190</v>
      </c>
      <c r="AP628" t="s">
        <v>7499</v>
      </c>
      <c r="AQ628" t="s">
        <v>80</v>
      </c>
      <c r="AR628" t="s">
        <v>77</v>
      </c>
      <c r="AS628" t="s">
        <v>1061</v>
      </c>
      <c r="AT628" t="s">
        <v>5286</v>
      </c>
      <c r="AU628" t="s">
        <v>83</v>
      </c>
      <c r="AV628" t="s">
        <v>7500</v>
      </c>
      <c r="AW628" t="str">
        <f>"3408500"</f>
        <v>3408500</v>
      </c>
    </row>
    <row r="629" spans="1:49">
      <c r="A629" t="str">
        <f t="shared" si="27"/>
        <v>37</v>
      </c>
      <c r="B629" t="s">
        <v>7355</v>
      </c>
      <c r="C629" t="str">
        <f>"3300"</f>
        <v>3300</v>
      </c>
      <c r="D629" t="s">
        <v>7501</v>
      </c>
      <c r="F629" t="s">
        <v>77</v>
      </c>
      <c r="G629" t="s">
        <v>328</v>
      </c>
      <c r="H629" t="s">
        <v>8182</v>
      </c>
      <c r="I629" t="s">
        <v>1518</v>
      </c>
      <c r="J629" s="3" t="s">
        <v>8183</v>
      </c>
      <c r="K629" t="s">
        <v>7503</v>
      </c>
      <c r="L629" t="s">
        <v>60</v>
      </c>
      <c r="M629" t="s">
        <v>7504</v>
      </c>
      <c r="N629" t="s">
        <v>62</v>
      </c>
      <c r="O629" t="s">
        <v>7505</v>
      </c>
      <c r="P629" t="s">
        <v>7503</v>
      </c>
      <c r="S629" t="s">
        <v>7504</v>
      </c>
      <c r="T629" t="s">
        <v>62</v>
      </c>
      <c r="U629" t="str">
        <f>"07827"</f>
        <v>07827</v>
      </c>
      <c r="V629" t="str">
        <f>"3018"</f>
        <v>3018</v>
      </c>
      <c r="W629">
        <v>9732937400</v>
      </c>
      <c r="X629" t="s">
        <v>77</v>
      </c>
      <c r="Y629" t="s">
        <v>7506</v>
      </c>
      <c r="Z629" t="s">
        <v>7507</v>
      </c>
      <c r="AA629" t="s">
        <v>112</v>
      </c>
      <c r="AB629" t="s">
        <v>77</v>
      </c>
      <c r="AC629" t="s">
        <v>509</v>
      </c>
      <c r="AD629" t="s">
        <v>7502</v>
      </c>
      <c r="AE629" t="s">
        <v>98</v>
      </c>
      <c r="AF629" t="s">
        <v>77</v>
      </c>
      <c r="AG629" t="s">
        <v>182</v>
      </c>
      <c r="AH629" t="s">
        <v>7508</v>
      </c>
      <c r="AI629" t="s">
        <v>73</v>
      </c>
      <c r="AJ629" t="s">
        <v>77</v>
      </c>
      <c r="AK629" t="s">
        <v>182</v>
      </c>
      <c r="AL629" t="s">
        <v>7508</v>
      </c>
      <c r="AM629" t="s">
        <v>76</v>
      </c>
      <c r="AN629" t="s">
        <v>77</v>
      </c>
      <c r="AO629" t="s">
        <v>404</v>
      </c>
      <c r="AP629" t="s">
        <v>7509</v>
      </c>
      <c r="AQ629" t="s">
        <v>80</v>
      </c>
      <c r="AR629" t="s">
        <v>77</v>
      </c>
      <c r="AS629" t="s">
        <v>509</v>
      </c>
      <c r="AT629" t="s">
        <v>7502</v>
      </c>
      <c r="AU629" t="s">
        <v>83</v>
      </c>
      <c r="AV629" t="s">
        <v>7510</v>
      </c>
      <c r="AW629" t="str">
        <f>"3410530"</f>
        <v>3410530</v>
      </c>
    </row>
    <row r="630" spans="1:49">
      <c r="A630" t="str">
        <f t="shared" si="27"/>
        <v>37</v>
      </c>
      <c r="B630" t="s">
        <v>7355</v>
      </c>
      <c r="C630" t="str">
        <f>"3590"</f>
        <v>3590</v>
      </c>
      <c r="D630" t="s">
        <v>7511</v>
      </c>
      <c r="F630" t="s">
        <v>65</v>
      </c>
      <c r="G630" t="s">
        <v>7512</v>
      </c>
      <c r="H630" t="s">
        <v>3341</v>
      </c>
      <c r="I630" t="s">
        <v>89</v>
      </c>
      <c r="J630" s="2" t="s">
        <v>7513</v>
      </c>
      <c r="K630" t="s">
        <v>7514</v>
      </c>
      <c r="L630" t="s">
        <v>60</v>
      </c>
      <c r="M630" t="s">
        <v>4909</v>
      </c>
      <c r="N630" t="s">
        <v>62</v>
      </c>
      <c r="O630" t="str">
        <f>"07860"</f>
        <v>07860</v>
      </c>
      <c r="P630" t="s">
        <v>7514</v>
      </c>
      <c r="S630" t="s">
        <v>4909</v>
      </c>
      <c r="T630" t="s">
        <v>62</v>
      </c>
      <c r="U630" t="str">
        <f>"07860"</f>
        <v>07860</v>
      </c>
      <c r="W630" t="s">
        <v>7515</v>
      </c>
      <c r="X630" t="s">
        <v>77</v>
      </c>
      <c r="Y630" t="s">
        <v>182</v>
      </c>
      <c r="Z630" t="s">
        <v>7516</v>
      </c>
      <c r="AA630" t="s">
        <v>68</v>
      </c>
      <c r="AB630" t="s">
        <v>70</v>
      </c>
      <c r="AC630" t="s">
        <v>155</v>
      </c>
      <c r="AD630" t="s">
        <v>7517</v>
      </c>
      <c r="AE630" t="s">
        <v>98</v>
      </c>
      <c r="AF630" t="s">
        <v>65</v>
      </c>
      <c r="AG630" t="s">
        <v>262</v>
      </c>
      <c r="AH630" t="s">
        <v>7518</v>
      </c>
      <c r="AI630" t="s">
        <v>73</v>
      </c>
      <c r="AJ630" t="s">
        <v>77</v>
      </c>
      <c r="AK630" t="s">
        <v>5541</v>
      </c>
      <c r="AL630" t="s">
        <v>7519</v>
      </c>
      <c r="AM630" t="s">
        <v>76</v>
      </c>
      <c r="AR630" t="s">
        <v>65</v>
      </c>
      <c r="AS630" t="s">
        <v>7520</v>
      </c>
      <c r="AT630" t="s">
        <v>3341</v>
      </c>
      <c r="AU630" t="s">
        <v>83</v>
      </c>
      <c r="AV630" t="s">
        <v>7521</v>
      </c>
      <c r="AW630" t="str">
        <f>"3411400"</f>
        <v>3411400</v>
      </c>
    </row>
    <row r="631" spans="1:49">
      <c r="A631" t="str">
        <f t="shared" si="27"/>
        <v>37</v>
      </c>
      <c r="B631" t="s">
        <v>7355</v>
      </c>
      <c r="C631" t="str">
        <f>"5105"</f>
        <v>5105</v>
      </c>
      <c r="D631" t="s">
        <v>7522</v>
      </c>
      <c r="F631" t="s">
        <v>70</v>
      </c>
      <c r="G631" t="s">
        <v>607</v>
      </c>
      <c r="H631" t="s">
        <v>7509</v>
      </c>
      <c r="I631" t="s">
        <v>89</v>
      </c>
      <c r="J631" s="2" t="s">
        <v>7523</v>
      </c>
      <c r="K631" t="s">
        <v>7524</v>
      </c>
      <c r="L631" t="s">
        <v>60</v>
      </c>
      <c r="M631" t="s">
        <v>7525</v>
      </c>
      <c r="N631" t="s">
        <v>62</v>
      </c>
      <c r="O631" t="str">
        <f>"07871"</f>
        <v>07871</v>
      </c>
      <c r="P631" t="s">
        <v>7524</v>
      </c>
      <c r="S631" t="s">
        <v>7525</v>
      </c>
      <c r="T631" t="s">
        <v>62</v>
      </c>
      <c r="U631" t="str">
        <f>"07871"</f>
        <v>07871</v>
      </c>
      <c r="W631" t="s">
        <v>7526</v>
      </c>
      <c r="X631" t="s">
        <v>70</v>
      </c>
      <c r="Y631" t="s">
        <v>164</v>
      </c>
      <c r="Z631" t="s">
        <v>7255</v>
      </c>
      <c r="AA631" t="s">
        <v>135</v>
      </c>
      <c r="AB631" t="s">
        <v>70</v>
      </c>
      <c r="AC631" t="s">
        <v>607</v>
      </c>
      <c r="AD631" t="s">
        <v>7509</v>
      </c>
      <c r="AE631" t="s">
        <v>98</v>
      </c>
      <c r="AF631" t="s">
        <v>70</v>
      </c>
      <c r="AG631" t="s">
        <v>607</v>
      </c>
      <c r="AH631" t="s">
        <v>7509</v>
      </c>
      <c r="AI631" t="s">
        <v>73</v>
      </c>
      <c r="AJ631" t="s">
        <v>54</v>
      </c>
      <c r="AK631" t="s">
        <v>155</v>
      </c>
      <c r="AL631" t="s">
        <v>1301</v>
      </c>
      <c r="AM631" t="s">
        <v>76</v>
      </c>
      <c r="AN631" t="s">
        <v>54</v>
      </c>
      <c r="AO631" t="s">
        <v>155</v>
      </c>
      <c r="AP631" t="s">
        <v>1301</v>
      </c>
      <c r="AQ631" t="s">
        <v>80</v>
      </c>
      <c r="AR631" t="s">
        <v>54</v>
      </c>
      <c r="AS631" t="s">
        <v>155</v>
      </c>
      <c r="AT631" t="s">
        <v>1301</v>
      </c>
      <c r="AU631" t="s">
        <v>83</v>
      </c>
      <c r="AV631" t="s">
        <v>7527</v>
      </c>
      <c r="AW631" t="str">
        <f>"3480320"</f>
        <v>3480320</v>
      </c>
    </row>
    <row r="632" spans="1:49">
      <c r="A632" t="str">
        <f t="shared" si="27"/>
        <v>37</v>
      </c>
      <c r="B632" t="s">
        <v>7355</v>
      </c>
      <c r="C632" t="str">
        <f>"3840"</f>
        <v>3840</v>
      </c>
      <c r="D632" t="s">
        <v>7528</v>
      </c>
      <c r="G632" t="s">
        <v>190</v>
      </c>
      <c r="H632" t="s">
        <v>7529</v>
      </c>
      <c r="I632" t="s">
        <v>89</v>
      </c>
      <c r="J632" s="2" t="s">
        <v>7530</v>
      </c>
      <c r="K632" t="s">
        <v>7531</v>
      </c>
      <c r="L632" t="s">
        <v>60</v>
      </c>
      <c r="M632" t="s">
        <v>7532</v>
      </c>
      <c r="N632" t="s">
        <v>62</v>
      </c>
      <c r="O632" t="str">
        <f>"07439"</f>
        <v>07439</v>
      </c>
      <c r="P632" t="s">
        <v>7531</v>
      </c>
      <c r="S632" t="s">
        <v>7532</v>
      </c>
      <c r="T632" t="s">
        <v>62</v>
      </c>
      <c r="U632" t="str">
        <f>"07439"</f>
        <v>07439</v>
      </c>
      <c r="W632" t="s">
        <v>7533</v>
      </c>
      <c r="Y632" t="s">
        <v>7335</v>
      </c>
      <c r="Z632" t="s">
        <v>7442</v>
      </c>
      <c r="AA632" t="s">
        <v>68</v>
      </c>
      <c r="AC632" t="s">
        <v>7534</v>
      </c>
      <c r="AD632" t="s">
        <v>7535</v>
      </c>
      <c r="AE632" t="s">
        <v>69</v>
      </c>
      <c r="AG632" t="s">
        <v>7536</v>
      </c>
      <c r="AH632" t="s">
        <v>7537</v>
      </c>
      <c r="AI632" t="s">
        <v>73</v>
      </c>
      <c r="AK632" t="s">
        <v>190</v>
      </c>
      <c r="AL632" t="s">
        <v>7529</v>
      </c>
      <c r="AM632" t="s">
        <v>76</v>
      </c>
      <c r="AS632" t="s">
        <v>7536</v>
      </c>
      <c r="AT632" t="s">
        <v>7537</v>
      </c>
      <c r="AU632" t="s">
        <v>83</v>
      </c>
      <c r="AV632" t="s">
        <v>7538</v>
      </c>
      <c r="AW632" t="str">
        <f>"3412150"</f>
        <v>3412150</v>
      </c>
    </row>
    <row r="633" spans="1:49">
      <c r="A633" t="str">
        <f t="shared" si="27"/>
        <v>37</v>
      </c>
      <c r="B633" t="s">
        <v>7355</v>
      </c>
      <c r="C633" t="str">
        <f>"4650"</f>
        <v>4650</v>
      </c>
      <c r="D633" t="s">
        <v>7539</v>
      </c>
      <c r="F633" t="s">
        <v>77</v>
      </c>
      <c r="G633" t="s">
        <v>273</v>
      </c>
      <c r="H633" t="s">
        <v>7540</v>
      </c>
      <c r="I633" t="s">
        <v>89</v>
      </c>
      <c r="J633" s="2" t="s">
        <v>7541</v>
      </c>
      <c r="K633" t="s">
        <v>7542</v>
      </c>
      <c r="L633" t="s">
        <v>7543</v>
      </c>
      <c r="M633" t="s">
        <v>5396</v>
      </c>
      <c r="N633" t="s">
        <v>62</v>
      </c>
      <c r="O633" t="str">
        <f>"07851"</f>
        <v>07851</v>
      </c>
      <c r="P633" t="s">
        <v>7542</v>
      </c>
      <c r="Q633" t="s">
        <v>7544</v>
      </c>
      <c r="S633" t="s">
        <v>5396</v>
      </c>
      <c r="T633" t="s">
        <v>62</v>
      </c>
      <c r="U633" t="str">
        <f>"07851"</f>
        <v>07851</v>
      </c>
      <c r="W633" t="s">
        <v>7545</v>
      </c>
      <c r="X633" t="s">
        <v>65</v>
      </c>
      <c r="Y633" t="s">
        <v>687</v>
      </c>
      <c r="Z633" t="s">
        <v>7546</v>
      </c>
      <c r="AA633" t="s">
        <v>135</v>
      </c>
      <c r="AB633" t="s">
        <v>65</v>
      </c>
      <c r="AC633" t="s">
        <v>3119</v>
      </c>
      <c r="AD633" t="s">
        <v>267</v>
      </c>
      <c r="AE633" t="s">
        <v>913</v>
      </c>
      <c r="AF633" t="s">
        <v>65</v>
      </c>
      <c r="AG633" t="s">
        <v>3119</v>
      </c>
      <c r="AH633" t="s">
        <v>267</v>
      </c>
      <c r="AI633" t="s">
        <v>73</v>
      </c>
      <c r="AJ633" t="s">
        <v>65</v>
      </c>
      <c r="AK633" t="s">
        <v>3119</v>
      </c>
      <c r="AL633" t="s">
        <v>267</v>
      </c>
      <c r="AM633" t="s">
        <v>76</v>
      </c>
      <c r="AN633" t="s">
        <v>77</v>
      </c>
      <c r="AO633" t="s">
        <v>1099</v>
      </c>
      <c r="AP633" t="s">
        <v>7406</v>
      </c>
      <c r="AQ633" t="s">
        <v>80</v>
      </c>
      <c r="AR633" t="s">
        <v>77</v>
      </c>
      <c r="AS633" t="s">
        <v>273</v>
      </c>
      <c r="AT633" t="s">
        <v>7540</v>
      </c>
      <c r="AU633" t="s">
        <v>83</v>
      </c>
      <c r="AV633" t="s">
        <v>7547</v>
      </c>
      <c r="AW633" t="str">
        <f>"3414610"</f>
        <v>3414610</v>
      </c>
    </row>
    <row r="634" spans="1:49">
      <c r="A634" t="str">
        <f t="shared" si="27"/>
        <v>37</v>
      </c>
      <c r="B634" t="s">
        <v>7355</v>
      </c>
      <c r="C634" t="str">
        <f>"4960"</f>
        <v>4960</v>
      </c>
      <c r="D634" t="s">
        <v>7548</v>
      </c>
      <c r="F634" t="s">
        <v>77</v>
      </c>
      <c r="G634" t="s">
        <v>293</v>
      </c>
      <c r="H634" t="s">
        <v>7549</v>
      </c>
      <c r="I634" t="s">
        <v>408</v>
      </c>
      <c r="J634" s="2" t="s">
        <v>7550</v>
      </c>
      <c r="K634" t="s">
        <v>7551</v>
      </c>
      <c r="L634" t="s">
        <v>60</v>
      </c>
      <c r="M634" t="s">
        <v>7525</v>
      </c>
      <c r="N634" t="s">
        <v>62</v>
      </c>
      <c r="O634" t="str">
        <f>"07871"</f>
        <v>07871</v>
      </c>
      <c r="P634" t="s">
        <v>7551</v>
      </c>
      <c r="S634" t="s">
        <v>7525</v>
      </c>
      <c r="T634" t="s">
        <v>62</v>
      </c>
      <c r="U634" t="str">
        <f>"07871"</f>
        <v>07871</v>
      </c>
      <c r="W634" t="s">
        <v>7552</v>
      </c>
      <c r="X634" t="s">
        <v>77</v>
      </c>
      <c r="Y634" t="s">
        <v>7553</v>
      </c>
      <c r="Z634" t="s">
        <v>7554</v>
      </c>
      <c r="AA634" t="s">
        <v>773</v>
      </c>
      <c r="AB634" t="s">
        <v>54</v>
      </c>
      <c r="AC634" t="s">
        <v>7555</v>
      </c>
      <c r="AD634" t="s">
        <v>7556</v>
      </c>
      <c r="AE634" t="s">
        <v>4096</v>
      </c>
      <c r="AF634" t="s">
        <v>70</v>
      </c>
      <c r="AG634" t="s">
        <v>7557</v>
      </c>
      <c r="AH634" t="s">
        <v>7558</v>
      </c>
      <c r="AI634" t="s">
        <v>73</v>
      </c>
      <c r="AJ634" t="s">
        <v>70</v>
      </c>
      <c r="AK634" t="s">
        <v>1250</v>
      </c>
      <c r="AL634" t="s">
        <v>7559</v>
      </c>
      <c r="AM634" t="s">
        <v>76</v>
      </c>
      <c r="AN634" t="s">
        <v>77</v>
      </c>
      <c r="AO634" t="s">
        <v>418</v>
      </c>
      <c r="AP634" t="s">
        <v>3427</v>
      </c>
      <c r="AQ634" t="s">
        <v>80</v>
      </c>
      <c r="AR634" t="s">
        <v>77</v>
      </c>
      <c r="AS634" t="s">
        <v>3078</v>
      </c>
      <c r="AT634" t="s">
        <v>7560</v>
      </c>
      <c r="AU634" t="s">
        <v>83</v>
      </c>
      <c r="AV634" t="s">
        <v>7561</v>
      </c>
      <c r="AW634" t="str">
        <f>"3415510"</f>
        <v>3415510</v>
      </c>
    </row>
    <row r="635" spans="1:49">
      <c r="A635" t="str">
        <f t="shared" si="27"/>
        <v>37</v>
      </c>
      <c r="B635" t="s">
        <v>7355</v>
      </c>
      <c r="C635" t="str">
        <f>"5030"</f>
        <v>5030</v>
      </c>
      <c r="D635" t="s">
        <v>7562</v>
      </c>
      <c r="F635" t="s">
        <v>77</v>
      </c>
      <c r="G635" t="s">
        <v>534</v>
      </c>
      <c r="H635" t="s">
        <v>7563</v>
      </c>
      <c r="I635" t="s">
        <v>89</v>
      </c>
      <c r="J635" s="2" t="s">
        <v>7564</v>
      </c>
      <c r="K635" t="s">
        <v>7565</v>
      </c>
      <c r="L635" t="s">
        <v>60</v>
      </c>
      <c r="M635" t="s">
        <v>7368</v>
      </c>
      <c r="N635" t="s">
        <v>62</v>
      </c>
      <c r="O635" t="str">
        <f>"07874"</f>
        <v>07874</v>
      </c>
      <c r="P635" t="s">
        <v>7565</v>
      </c>
      <c r="S635" t="s">
        <v>7368</v>
      </c>
      <c r="T635" t="s">
        <v>62</v>
      </c>
      <c r="U635" t="str">
        <f>"07874"</f>
        <v>07874</v>
      </c>
      <c r="W635" t="s">
        <v>7566</v>
      </c>
      <c r="X635" t="s">
        <v>65</v>
      </c>
      <c r="Y635" t="s">
        <v>78</v>
      </c>
      <c r="Z635" t="s">
        <v>7567</v>
      </c>
      <c r="AA635" t="s">
        <v>135</v>
      </c>
      <c r="AB635" t="s">
        <v>77</v>
      </c>
      <c r="AC635" t="s">
        <v>534</v>
      </c>
      <c r="AD635" t="s">
        <v>7563</v>
      </c>
      <c r="AE635" t="s">
        <v>181</v>
      </c>
      <c r="AF635" t="s">
        <v>70</v>
      </c>
      <c r="AG635" t="s">
        <v>7568</v>
      </c>
      <c r="AH635" t="s">
        <v>7569</v>
      </c>
      <c r="AI635" t="s">
        <v>73</v>
      </c>
      <c r="AJ635" t="s">
        <v>54</v>
      </c>
      <c r="AK635" t="s">
        <v>5408</v>
      </c>
      <c r="AL635" t="s">
        <v>7570</v>
      </c>
      <c r="AM635" t="s">
        <v>76</v>
      </c>
      <c r="AN635" t="s">
        <v>77</v>
      </c>
      <c r="AO635" t="s">
        <v>663</v>
      </c>
      <c r="AP635" t="s">
        <v>7571</v>
      </c>
      <c r="AQ635" t="s">
        <v>80</v>
      </c>
      <c r="AR635" t="s">
        <v>77</v>
      </c>
      <c r="AS635" t="s">
        <v>534</v>
      </c>
      <c r="AT635" t="s">
        <v>7563</v>
      </c>
      <c r="AU635" t="s">
        <v>83</v>
      </c>
      <c r="AV635" t="s">
        <v>7572</v>
      </c>
      <c r="AW635" t="str">
        <f>"3415720"</f>
        <v>3415720</v>
      </c>
    </row>
    <row r="636" spans="1:49">
      <c r="A636" t="str">
        <f t="shared" si="27"/>
        <v>37</v>
      </c>
      <c r="B636" t="s">
        <v>7355</v>
      </c>
      <c r="C636" t="str">
        <f>"5040"</f>
        <v>5040</v>
      </c>
      <c r="D636" t="s">
        <v>7573</v>
      </c>
      <c r="F636" t="s">
        <v>77</v>
      </c>
      <c r="G636" t="s">
        <v>273</v>
      </c>
      <c r="H636" t="s">
        <v>7540</v>
      </c>
      <c r="I636" t="s">
        <v>89</v>
      </c>
      <c r="J636" s="2" t="s">
        <v>7574</v>
      </c>
      <c r="K636" t="s">
        <v>7575</v>
      </c>
      <c r="L636" t="s">
        <v>60</v>
      </c>
      <c r="M636" t="s">
        <v>7576</v>
      </c>
      <c r="N636" t="s">
        <v>62</v>
      </c>
      <c r="O636" t="str">
        <f>"07875"</f>
        <v>07875</v>
      </c>
      <c r="P636" t="s">
        <v>7577</v>
      </c>
      <c r="S636" t="s">
        <v>7576</v>
      </c>
      <c r="T636" t="s">
        <v>62</v>
      </c>
      <c r="U636" t="str">
        <f>"07875"</f>
        <v>07875</v>
      </c>
      <c r="W636" t="s">
        <v>7578</v>
      </c>
      <c r="X636" t="s">
        <v>54</v>
      </c>
      <c r="Y636" t="s">
        <v>2132</v>
      </c>
      <c r="Z636" t="s">
        <v>7579</v>
      </c>
      <c r="AA636" t="s">
        <v>135</v>
      </c>
      <c r="AB636" t="s">
        <v>54</v>
      </c>
      <c r="AC636" t="s">
        <v>5513</v>
      </c>
      <c r="AD636" t="s">
        <v>7580</v>
      </c>
      <c r="AE636" t="s">
        <v>69</v>
      </c>
      <c r="AF636" t="s">
        <v>54</v>
      </c>
      <c r="AG636" t="s">
        <v>7581</v>
      </c>
      <c r="AH636" t="s">
        <v>6668</v>
      </c>
      <c r="AI636" t="s">
        <v>73</v>
      </c>
      <c r="AJ636" t="s">
        <v>77</v>
      </c>
      <c r="AK636" t="s">
        <v>273</v>
      </c>
      <c r="AL636" t="s">
        <v>7540</v>
      </c>
      <c r="AM636" t="s">
        <v>76</v>
      </c>
      <c r="AN636" t="s">
        <v>54</v>
      </c>
      <c r="AO636" t="s">
        <v>2132</v>
      </c>
      <c r="AP636" t="s">
        <v>7579</v>
      </c>
      <c r="AQ636" t="s">
        <v>80</v>
      </c>
      <c r="AR636" t="s">
        <v>54</v>
      </c>
      <c r="AS636" t="s">
        <v>7581</v>
      </c>
      <c r="AT636" t="s">
        <v>6668</v>
      </c>
      <c r="AU636" t="s">
        <v>83</v>
      </c>
      <c r="AV636" t="s">
        <v>7582</v>
      </c>
      <c r="AW636" t="str">
        <f>"3415750"</f>
        <v>3415750</v>
      </c>
    </row>
    <row r="637" spans="1:49">
      <c r="A637" t="str">
        <f t="shared" si="27"/>
        <v>37</v>
      </c>
      <c r="B637" t="s">
        <v>7355</v>
      </c>
      <c r="C637" t="str">
        <f>"5110"</f>
        <v>5110</v>
      </c>
      <c r="D637" t="s">
        <v>7583</v>
      </c>
      <c r="F637" t="s">
        <v>77</v>
      </c>
      <c r="G637" t="s">
        <v>7584</v>
      </c>
      <c r="H637" t="s">
        <v>7585</v>
      </c>
      <c r="I637" t="s">
        <v>89</v>
      </c>
      <c r="J637" s="2" t="s">
        <v>7586</v>
      </c>
      <c r="K637" t="s">
        <v>7587</v>
      </c>
      <c r="L637" t="s">
        <v>60</v>
      </c>
      <c r="M637" t="s">
        <v>7588</v>
      </c>
      <c r="N637" t="s">
        <v>62</v>
      </c>
      <c r="O637" t="str">
        <f>"07871"</f>
        <v>07871</v>
      </c>
      <c r="P637" t="s">
        <v>7587</v>
      </c>
      <c r="S637" t="s">
        <v>7588</v>
      </c>
      <c r="T637" t="s">
        <v>62</v>
      </c>
      <c r="U637" t="str">
        <f>"07871"</f>
        <v>07871</v>
      </c>
      <c r="W637" t="s">
        <v>7589</v>
      </c>
      <c r="X637" t="s">
        <v>77</v>
      </c>
      <c r="Y637" t="s">
        <v>422</v>
      </c>
      <c r="Z637" t="s">
        <v>7590</v>
      </c>
      <c r="AA637" t="s">
        <v>68</v>
      </c>
      <c r="AB637" t="s">
        <v>70</v>
      </c>
      <c r="AC637" t="s">
        <v>771</v>
      </c>
      <c r="AD637" t="s">
        <v>7591</v>
      </c>
      <c r="AE637" t="s">
        <v>181</v>
      </c>
      <c r="AF637" t="s">
        <v>70</v>
      </c>
      <c r="AG637" t="s">
        <v>1653</v>
      </c>
      <c r="AH637" t="s">
        <v>7592</v>
      </c>
      <c r="AI637" t="s">
        <v>73</v>
      </c>
      <c r="AJ637" t="s">
        <v>77</v>
      </c>
      <c r="AK637" t="s">
        <v>136</v>
      </c>
      <c r="AL637" t="s">
        <v>7593</v>
      </c>
      <c r="AM637" t="s">
        <v>76</v>
      </c>
      <c r="AR637" t="s">
        <v>77</v>
      </c>
      <c r="AS637" t="s">
        <v>78</v>
      </c>
      <c r="AT637" t="s">
        <v>7593</v>
      </c>
      <c r="AU637" t="s">
        <v>83</v>
      </c>
      <c r="AV637" t="s">
        <v>7594</v>
      </c>
      <c r="AW637" t="str">
        <f>"3415930"</f>
        <v>3415930</v>
      </c>
    </row>
    <row r="638" spans="1:49">
      <c r="A638" t="str">
        <f>"80"</f>
        <v>80</v>
      </c>
      <c r="B638" t="s">
        <v>7355</v>
      </c>
      <c r="C638" t="str">
        <f>"7850"</f>
        <v>7850</v>
      </c>
      <c r="D638" t="s">
        <v>7595</v>
      </c>
      <c r="E638" t="str">
        <f>"960"</f>
        <v>960</v>
      </c>
      <c r="F638" t="s">
        <v>54</v>
      </c>
      <c r="G638" t="s">
        <v>5128</v>
      </c>
      <c r="H638" t="s">
        <v>7596</v>
      </c>
      <c r="I638" t="s">
        <v>89</v>
      </c>
      <c r="J638" s="2" t="s">
        <v>7597</v>
      </c>
      <c r="K638" t="s">
        <v>7598</v>
      </c>
      <c r="L638" t="s">
        <v>60</v>
      </c>
      <c r="M638" t="s">
        <v>7588</v>
      </c>
      <c r="N638" t="s">
        <v>62</v>
      </c>
      <c r="O638" t="str">
        <f>"07871"</f>
        <v>07871</v>
      </c>
      <c r="P638" t="s">
        <v>7598</v>
      </c>
      <c r="S638" t="s">
        <v>7588</v>
      </c>
      <c r="T638" t="s">
        <v>62</v>
      </c>
      <c r="U638" t="str">
        <f>"07871"</f>
        <v>07871</v>
      </c>
      <c r="W638" t="s">
        <v>7599</v>
      </c>
      <c r="X638" t="s">
        <v>54</v>
      </c>
      <c r="Y638" t="s">
        <v>251</v>
      </c>
      <c r="Z638" t="s">
        <v>7600</v>
      </c>
      <c r="AA638" t="s">
        <v>112</v>
      </c>
      <c r="AB638" t="s">
        <v>77</v>
      </c>
      <c r="AC638" t="s">
        <v>5458</v>
      </c>
      <c r="AD638" t="s">
        <v>7235</v>
      </c>
      <c r="AE638" t="s">
        <v>913</v>
      </c>
      <c r="AF638" t="s">
        <v>54</v>
      </c>
      <c r="AG638" t="s">
        <v>71</v>
      </c>
      <c r="AH638" t="s">
        <v>5472</v>
      </c>
      <c r="AI638" t="s">
        <v>73</v>
      </c>
      <c r="AJ638" t="s">
        <v>77</v>
      </c>
      <c r="AK638" t="s">
        <v>120</v>
      </c>
      <c r="AL638" t="s">
        <v>1753</v>
      </c>
      <c r="AM638" t="s">
        <v>76</v>
      </c>
      <c r="AR638" t="s">
        <v>54</v>
      </c>
      <c r="AS638" t="s">
        <v>5128</v>
      </c>
      <c r="AT638" t="s">
        <v>7596</v>
      </c>
      <c r="AU638" t="s">
        <v>83</v>
      </c>
      <c r="AV638" t="s">
        <v>7601</v>
      </c>
      <c r="AW638" t="str">
        <f>"3400055"</f>
        <v>3400055</v>
      </c>
    </row>
    <row r="639" spans="1:49">
      <c r="A639" t="str">
        <f>"37"</f>
        <v>37</v>
      </c>
      <c r="B639" t="s">
        <v>7355</v>
      </c>
      <c r="C639" t="str">
        <f>"5100"</f>
        <v>5100</v>
      </c>
      <c r="D639" t="s">
        <v>7602</v>
      </c>
      <c r="F639" t="s">
        <v>77</v>
      </c>
      <c r="G639" t="s">
        <v>120</v>
      </c>
      <c r="H639" t="s">
        <v>7603</v>
      </c>
      <c r="I639" t="s">
        <v>89</v>
      </c>
      <c r="J639" s="2" t="s">
        <v>7604</v>
      </c>
      <c r="K639" t="s">
        <v>7605</v>
      </c>
      <c r="L639" t="s">
        <v>60</v>
      </c>
      <c r="M639" t="s">
        <v>7606</v>
      </c>
      <c r="N639" t="s">
        <v>62</v>
      </c>
      <c r="O639" t="str">
        <f>"07461"</f>
        <v>07461</v>
      </c>
      <c r="P639" t="s">
        <v>7605</v>
      </c>
      <c r="S639" t="s">
        <v>7606</v>
      </c>
      <c r="T639" t="s">
        <v>62</v>
      </c>
      <c r="U639" t="str">
        <f>"07461"</f>
        <v>07461</v>
      </c>
      <c r="W639" t="s">
        <v>7607</v>
      </c>
      <c r="X639" t="s">
        <v>54</v>
      </c>
      <c r="Y639" t="s">
        <v>1142</v>
      </c>
      <c r="Z639" t="s">
        <v>7608</v>
      </c>
      <c r="AA639" t="s">
        <v>112</v>
      </c>
      <c r="AB639" t="s">
        <v>70</v>
      </c>
      <c r="AC639" t="s">
        <v>730</v>
      </c>
      <c r="AD639" t="s">
        <v>454</v>
      </c>
      <c r="AE639" t="s">
        <v>415</v>
      </c>
      <c r="AF639" t="s">
        <v>77</v>
      </c>
      <c r="AG639" t="s">
        <v>287</v>
      </c>
      <c r="AH639" t="s">
        <v>3427</v>
      </c>
      <c r="AI639" t="s">
        <v>73</v>
      </c>
      <c r="AJ639" t="s">
        <v>54</v>
      </c>
      <c r="AK639" t="s">
        <v>7609</v>
      </c>
      <c r="AL639" t="s">
        <v>7610</v>
      </c>
      <c r="AM639" t="s">
        <v>76</v>
      </c>
      <c r="AN639" t="s">
        <v>77</v>
      </c>
      <c r="AO639" t="s">
        <v>78</v>
      </c>
      <c r="AP639" t="s">
        <v>7611</v>
      </c>
      <c r="AQ639" t="s">
        <v>80</v>
      </c>
      <c r="AR639" t="s">
        <v>77</v>
      </c>
      <c r="AS639" t="s">
        <v>287</v>
      </c>
      <c r="AT639" t="s">
        <v>3427</v>
      </c>
      <c r="AU639" t="s">
        <v>83</v>
      </c>
      <c r="AV639" t="s">
        <v>7612</v>
      </c>
      <c r="AW639" t="str">
        <f>"3415960"</f>
        <v>3415960</v>
      </c>
    </row>
    <row r="640" spans="1:49">
      <c r="A640" t="str">
        <f>"37"</f>
        <v>37</v>
      </c>
      <c r="B640" t="s">
        <v>7355</v>
      </c>
      <c r="C640" t="str">
        <f>"5360"</f>
        <v>5360</v>
      </c>
      <c r="D640" t="s">
        <v>7613</v>
      </c>
      <c r="F640" t="s">
        <v>70</v>
      </c>
      <c r="G640" t="s">
        <v>429</v>
      </c>
      <c r="H640" t="s">
        <v>7614</v>
      </c>
      <c r="I640" t="s">
        <v>57</v>
      </c>
      <c r="J640" s="2" t="s">
        <v>7615</v>
      </c>
      <c r="K640" t="s">
        <v>7616</v>
      </c>
      <c r="L640" t="s">
        <v>7617</v>
      </c>
      <c r="M640" t="s">
        <v>5786</v>
      </c>
      <c r="N640" t="s">
        <v>62</v>
      </c>
      <c r="O640" t="str">
        <f>"07462"</f>
        <v>07462</v>
      </c>
      <c r="P640" t="s">
        <v>7616</v>
      </c>
      <c r="Q640" t="s">
        <v>7618</v>
      </c>
      <c r="S640" t="s">
        <v>5786</v>
      </c>
      <c r="T640" t="s">
        <v>62</v>
      </c>
      <c r="U640" t="str">
        <f>"07462"</f>
        <v>07462</v>
      </c>
      <c r="W640" t="s">
        <v>7619</v>
      </c>
      <c r="X640" t="s">
        <v>70</v>
      </c>
      <c r="Y640" t="s">
        <v>1085</v>
      </c>
      <c r="Z640" t="s">
        <v>7152</v>
      </c>
      <c r="AA640" t="s">
        <v>68</v>
      </c>
      <c r="AB640" t="s">
        <v>70</v>
      </c>
      <c r="AC640" t="s">
        <v>429</v>
      </c>
      <c r="AD640" t="s">
        <v>7614</v>
      </c>
      <c r="AE640" t="s">
        <v>98</v>
      </c>
      <c r="AF640" t="s">
        <v>77</v>
      </c>
      <c r="AG640" t="s">
        <v>436</v>
      </c>
      <c r="AH640" t="s">
        <v>7620</v>
      </c>
      <c r="AI640" t="s">
        <v>73</v>
      </c>
      <c r="AJ640" t="s">
        <v>77</v>
      </c>
      <c r="AK640" t="s">
        <v>7621</v>
      </c>
      <c r="AL640" t="s">
        <v>3230</v>
      </c>
      <c r="AM640" t="s">
        <v>76</v>
      </c>
      <c r="AN640" t="s">
        <v>77</v>
      </c>
      <c r="AO640" t="s">
        <v>281</v>
      </c>
      <c r="AP640" t="s">
        <v>3887</v>
      </c>
      <c r="AQ640" t="s">
        <v>80</v>
      </c>
      <c r="AR640" t="s">
        <v>70</v>
      </c>
      <c r="AS640" t="s">
        <v>1085</v>
      </c>
      <c r="AT640" t="s">
        <v>7152</v>
      </c>
      <c r="AU640" t="s">
        <v>83</v>
      </c>
      <c r="AV640" t="s">
        <v>7622</v>
      </c>
      <c r="AW640" t="str">
        <f>"3416710"</f>
        <v>3416710</v>
      </c>
    </row>
    <row r="641" spans="1:49">
      <c r="A641" t="str">
        <f>"37"</f>
        <v>37</v>
      </c>
      <c r="B641" t="s">
        <v>7355</v>
      </c>
      <c r="C641" t="str">
        <f>"5435"</f>
        <v>5435</v>
      </c>
      <c r="D641" t="s">
        <v>7623</v>
      </c>
      <c r="F641" t="s">
        <v>77</v>
      </c>
      <c r="G641" t="s">
        <v>190</v>
      </c>
      <c r="H641" t="s">
        <v>1247</v>
      </c>
      <c r="I641" t="s">
        <v>57</v>
      </c>
      <c r="J641" s="2" t="s">
        <v>7624</v>
      </c>
      <c r="K641" t="s">
        <v>7625</v>
      </c>
      <c r="L641" t="s">
        <v>60</v>
      </c>
      <c r="M641" t="s">
        <v>7626</v>
      </c>
      <c r="N641" t="s">
        <v>62</v>
      </c>
      <c r="O641" t="str">
        <f>"07419"</f>
        <v>07419</v>
      </c>
      <c r="P641" t="s">
        <v>7625</v>
      </c>
      <c r="S641" t="s">
        <v>7626</v>
      </c>
      <c r="T641" t="s">
        <v>62</v>
      </c>
      <c r="U641" t="str">
        <f>"07419"</f>
        <v>07419</v>
      </c>
      <c r="W641" t="s">
        <v>7627</v>
      </c>
      <c r="X641" t="s">
        <v>77</v>
      </c>
      <c r="Y641" t="s">
        <v>358</v>
      </c>
      <c r="Z641" t="s">
        <v>1461</v>
      </c>
      <c r="AA641" t="s">
        <v>112</v>
      </c>
      <c r="AC641" t="s">
        <v>7628</v>
      </c>
      <c r="AD641" t="s">
        <v>7629</v>
      </c>
      <c r="AE641" t="s">
        <v>181</v>
      </c>
      <c r="AF641" t="s">
        <v>77</v>
      </c>
      <c r="AG641" t="s">
        <v>965</v>
      </c>
      <c r="AH641" t="s">
        <v>7630</v>
      </c>
      <c r="AI641" t="s">
        <v>73</v>
      </c>
      <c r="AJ641" t="s">
        <v>70</v>
      </c>
      <c r="AK641" t="s">
        <v>7631</v>
      </c>
      <c r="AL641" t="s">
        <v>7632</v>
      </c>
      <c r="AM641" t="s">
        <v>76</v>
      </c>
      <c r="AN641" t="s">
        <v>77</v>
      </c>
      <c r="AO641" t="s">
        <v>1232</v>
      </c>
      <c r="AP641" t="s">
        <v>7633</v>
      </c>
      <c r="AQ641" t="s">
        <v>80</v>
      </c>
      <c r="AS641" t="s">
        <v>965</v>
      </c>
      <c r="AT641" t="s">
        <v>7630</v>
      </c>
      <c r="AU641" t="s">
        <v>83</v>
      </c>
      <c r="AV641" t="s">
        <v>7634</v>
      </c>
      <c r="AW641" t="str">
        <f>"3416870"</f>
        <v>3416870</v>
      </c>
    </row>
    <row r="642" spans="1:49">
      <c r="A642" t="str">
        <f>"39"</f>
        <v>39</v>
      </c>
      <c r="B642" t="s">
        <v>7635</v>
      </c>
      <c r="C642" t="str">
        <f>"0310"</f>
        <v>0310</v>
      </c>
      <c r="D642" t="s">
        <v>7636</v>
      </c>
      <c r="F642" t="s">
        <v>65</v>
      </c>
      <c r="G642" t="s">
        <v>716</v>
      </c>
      <c r="H642" t="s">
        <v>5774</v>
      </c>
      <c r="I642" t="s">
        <v>89</v>
      </c>
      <c r="J642" s="2" t="s">
        <v>7637</v>
      </c>
      <c r="K642" t="s">
        <v>7638</v>
      </c>
      <c r="L642" t="s">
        <v>60</v>
      </c>
      <c r="M642" t="s">
        <v>7639</v>
      </c>
      <c r="N642" t="s">
        <v>62</v>
      </c>
      <c r="O642" t="str">
        <f>"07922"</f>
        <v>07922</v>
      </c>
      <c r="P642" t="s">
        <v>7638</v>
      </c>
      <c r="S642" t="s">
        <v>7639</v>
      </c>
      <c r="T642" t="s">
        <v>62</v>
      </c>
      <c r="U642" t="str">
        <f>"07922"</f>
        <v>07922</v>
      </c>
      <c r="W642" t="s">
        <v>7640</v>
      </c>
      <c r="X642" t="s">
        <v>54</v>
      </c>
      <c r="Y642" t="s">
        <v>1346</v>
      </c>
      <c r="Z642" t="s">
        <v>7641</v>
      </c>
      <c r="AA642" t="s">
        <v>112</v>
      </c>
      <c r="AB642" t="s">
        <v>54</v>
      </c>
      <c r="AC642" t="s">
        <v>291</v>
      </c>
      <c r="AD642" t="s">
        <v>7642</v>
      </c>
      <c r="AE642" t="s">
        <v>98</v>
      </c>
      <c r="AF642" t="s">
        <v>54</v>
      </c>
      <c r="AG642" t="s">
        <v>1142</v>
      </c>
      <c r="AH642" t="s">
        <v>7643</v>
      </c>
      <c r="AI642" t="s">
        <v>73</v>
      </c>
      <c r="AJ642" t="s">
        <v>77</v>
      </c>
      <c r="AK642" t="s">
        <v>436</v>
      </c>
      <c r="AL642" t="s">
        <v>7644</v>
      </c>
      <c r="AM642" t="s">
        <v>154</v>
      </c>
      <c r="AN642" t="s">
        <v>77</v>
      </c>
      <c r="AO642" t="s">
        <v>418</v>
      </c>
      <c r="AP642" t="s">
        <v>7645</v>
      </c>
      <c r="AQ642" t="s">
        <v>80</v>
      </c>
      <c r="AR642" t="s">
        <v>54</v>
      </c>
      <c r="AS642" t="s">
        <v>1748</v>
      </c>
      <c r="AT642" t="s">
        <v>5084</v>
      </c>
      <c r="AU642" t="s">
        <v>83</v>
      </c>
      <c r="AV642" t="s">
        <v>7646</v>
      </c>
      <c r="AW642" t="str">
        <f>"3401530"</f>
        <v>3401530</v>
      </c>
    </row>
    <row r="643" spans="1:49">
      <c r="A643" t="str">
        <f>"39"</f>
        <v>39</v>
      </c>
      <c r="B643" t="s">
        <v>7635</v>
      </c>
      <c r="C643" t="str">
        <f>"0850"</f>
        <v>0850</v>
      </c>
      <c r="D643" t="s">
        <v>7647</v>
      </c>
      <c r="F643" t="s">
        <v>77</v>
      </c>
      <c r="G643" t="s">
        <v>1030</v>
      </c>
      <c r="H643" t="s">
        <v>7648</v>
      </c>
      <c r="I643" t="s">
        <v>57</v>
      </c>
      <c r="J643" s="2" t="s">
        <v>7649</v>
      </c>
      <c r="K643" t="s">
        <v>7650</v>
      </c>
      <c r="L643" t="s">
        <v>60</v>
      </c>
      <c r="M643" t="s">
        <v>3577</v>
      </c>
      <c r="N643" t="s">
        <v>62</v>
      </c>
      <c r="O643" t="str">
        <f>"07066"</f>
        <v>07066</v>
      </c>
      <c r="P643" t="s">
        <v>7650</v>
      </c>
      <c r="S643" t="s">
        <v>3577</v>
      </c>
      <c r="T643" t="s">
        <v>62</v>
      </c>
      <c r="U643" t="str">
        <f>"07066"</f>
        <v>07066</v>
      </c>
      <c r="W643" t="s">
        <v>7651</v>
      </c>
      <c r="X643" t="s">
        <v>77</v>
      </c>
      <c r="Y643" t="s">
        <v>555</v>
      </c>
      <c r="Z643" t="s">
        <v>4025</v>
      </c>
      <c r="AA643" t="s">
        <v>135</v>
      </c>
      <c r="AB643" t="s">
        <v>70</v>
      </c>
      <c r="AC643" t="s">
        <v>371</v>
      </c>
      <c r="AD643" t="s">
        <v>7652</v>
      </c>
      <c r="AE643" t="s">
        <v>913</v>
      </c>
      <c r="AF643" t="s">
        <v>70</v>
      </c>
      <c r="AG643" t="s">
        <v>864</v>
      </c>
      <c r="AH643" t="s">
        <v>7653</v>
      </c>
      <c r="AI643" t="s">
        <v>73</v>
      </c>
      <c r="AJ643" t="s">
        <v>77</v>
      </c>
      <c r="AK643" t="s">
        <v>422</v>
      </c>
      <c r="AL643" t="s">
        <v>7654</v>
      </c>
      <c r="AM643" t="s">
        <v>76</v>
      </c>
      <c r="AN643" t="s">
        <v>77</v>
      </c>
      <c r="AO643" t="s">
        <v>7655</v>
      </c>
      <c r="AP643" t="s">
        <v>7656</v>
      </c>
      <c r="AQ643" t="s">
        <v>80</v>
      </c>
      <c r="AR643" t="s">
        <v>54</v>
      </c>
      <c r="AS643" t="s">
        <v>289</v>
      </c>
      <c r="AT643" t="s">
        <v>7657</v>
      </c>
      <c r="AU643" t="s">
        <v>83</v>
      </c>
      <c r="AV643" t="s">
        <v>7658</v>
      </c>
      <c r="AW643" t="str">
        <f>"3403150"</f>
        <v>3403150</v>
      </c>
    </row>
    <row r="644" spans="1:49">
      <c r="A644" t="str">
        <f>"80"</f>
        <v>80</v>
      </c>
      <c r="B644" t="s">
        <v>7635</v>
      </c>
      <c r="C644" t="str">
        <f>"6101"</f>
        <v>6101</v>
      </c>
      <c r="D644" t="s">
        <v>7659</v>
      </c>
      <c r="E644" t="str">
        <f>"992"</f>
        <v>992</v>
      </c>
      <c r="F644" t="s">
        <v>70</v>
      </c>
      <c r="G644" t="s">
        <v>7660</v>
      </c>
      <c r="H644" t="s">
        <v>7661</v>
      </c>
      <c r="I644" t="s">
        <v>89</v>
      </c>
      <c r="J644" s="2" t="s">
        <v>7662</v>
      </c>
      <c r="K644" t="s">
        <v>7663</v>
      </c>
      <c r="L644" t="s">
        <v>60</v>
      </c>
      <c r="M644" t="s">
        <v>7664</v>
      </c>
      <c r="N644" t="s">
        <v>62</v>
      </c>
      <c r="O644" t="str">
        <f>"07062"</f>
        <v>07062</v>
      </c>
      <c r="P644" t="s">
        <v>7663</v>
      </c>
      <c r="S644" t="s">
        <v>7664</v>
      </c>
      <c r="T644" t="s">
        <v>62</v>
      </c>
      <c r="U644" t="str">
        <f>"07062"</f>
        <v>07062</v>
      </c>
      <c r="W644" t="s">
        <v>7665</v>
      </c>
      <c r="X644" t="s">
        <v>65</v>
      </c>
      <c r="Y644" t="s">
        <v>212</v>
      </c>
      <c r="Z644" t="s">
        <v>491</v>
      </c>
      <c r="AA644" t="s">
        <v>112</v>
      </c>
      <c r="AB644" t="s">
        <v>70</v>
      </c>
      <c r="AC644" t="s">
        <v>7666</v>
      </c>
      <c r="AD644" t="s">
        <v>3204</v>
      </c>
      <c r="AE644" t="s">
        <v>181</v>
      </c>
      <c r="AF644" t="s">
        <v>77</v>
      </c>
      <c r="AG644" t="s">
        <v>287</v>
      </c>
      <c r="AH644" t="s">
        <v>5334</v>
      </c>
      <c r="AI644" t="s">
        <v>73</v>
      </c>
      <c r="AJ644" t="s">
        <v>70</v>
      </c>
      <c r="AK644" t="s">
        <v>7667</v>
      </c>
      <c r="AL644" t="s">
        <v>855</v>
      </c>
      <c r="AM644" t="s">
        <v>76</v>
      </c>
      <c r="AS644" t="s">
        <v>7660</v>
      </c>
      <c r="AT644" t="s">
        <v>855</v>
      </c>
      <c r="AU644" t="s">
        <v>83</v>
      </c>
      <c r="AV644" t="s">
        <v>7668</v>
      </c>
    </row>
    <row r="645" spans="1:49">
      <c r="A645" t="str">
        <f>"39"</f>
        <v>39</v>
      </c>
      <c r="B645" t="s">
        <v>7635</v>
      </c>
      <c r="C645" t="str">
        <f>"0980"</f>
        <v>0980</v>
      </c>
      <c r="D645" t="s">
        <v>7669</v>
      </c>
      <c r="F645" t="s">
        <v>65</v>
      </c>
      <c r="G645" t="s">
        <v>436</v>
      </c>
      <c r="H645" t="s">
        <v>4955</v>
      </c>
      <c r="I645" t="s">
        <v>89</v>
      </c>
      <c r="J645" s="2" t="s">
        <v>7670</v>
      </c>
      <c r="K645" t="s">
        <v>7671</v>
      </c>
      <c r="L645" t="s">
        <v>60</v>
      </c>
      <c r="M645" t="s">
        <v>7672</v>
      </c>
      <c r="N645" t="s">
        <v>62</v>
      </c>
      <c r="O645" t="str">
        <f>"07016"</f>
        <v>07016</v>
      </c>
      <c r="P645" t="s">
        <v>7671</v>
      </c>
      <c r="S645" t="s">
        <v>7672</v>
      </c>
      <c r="T645" t="s">
        <v>62</v>
      </c>
      <c r="U645" t="str">
        <f>"07016"</f>
        <v>07016</v>
      </c>
      <c r="W645" t="s">
        <v>7673</v>
      </c>
      <c r="X645" t="s">
        <v>77</v>
      </c>
      <c r="Y645" t="s">
        <v>873</v>
      </c>
      <c r="Z645" t="s">
        <v>7674</v>
      </c>
      <c r="AA645" t="s">
        <v>135</v>
      </c>
      <c r="AB645" t="s">
        <v>65</v>
      </c>
      <c r="AC645" t="s">
        <v>957</v>
      </c>
      <c r="AD645" t="s">
        <v>1823</v>
      </c>
      <c r="AE645" t="s">
        <v>69</v>
      </c>
      <c r="AF645" t="s">
        <v>54</v>
      </c>
      <c r="AG645" t="s">
        <v>150</v>
      </c>
      <c r="AH645" t="s">
        <v>7675</v>
      </c>
      <c r="AI645" t="s">
        <v>73</v>
      </c>
      <c r="AJ645" t="s">
        <v>65</v>
      </c>
      <c r="AK645" t="s">
        <v>212</v>
      </c>
      <c r="AL645" t="s">
        <v>7676</v>
      </c>
      <c r="AM645" t="s">
        <v>76</v>
      </c>
      <c r="AN645" t="s">
        <v>77</v>
      </c>
      <c r="AO645" t="s">
        <v>120</v>
      </c>
      <c r="AP645" t="s">
        <v>7677</v>
      </c>
      <c r="AQ645" t="s">
        <v>80</v>
      </c>
      <c r="AR645" t="s">
        <v>54</v>
      </c>
      <c r="AS645" t="s">
        <v>1666</v>
      </c>
      <c r="AT645" t="s">
        <v>7678</v>
      </c>
      <c r="AU645" t="s">
        <v>83</v>
      </c>
      <c r="AV645" t="s">
        <v>7679</v>
      </c>
      <c r="AW645" t="str">
        <f>"3403570"</f>
        <v>3403570</v>
      </c>
    </row>
    <row r="646" spans="1:49">
      <c r="A646" t="str">
        <f>"80"</f>
        <v>80</v>
      </c>
      <c r="B646" t="s">
        <v>7635</v>
      </c>
      <c r="C646" t="str">
        <f>"6102"</f>
        <v>6102</v>
      </c>
      <c r="D646" t="s">
        <v>7680</v>
      </c>
      <c r="E646" t="str">
        <f>"993"</f>
        <v>993</v>
      </c>
      <c r="F646" t="s">
        <v>70</v>
      </c>
      <c r="G646" t="s">
        <v>851</v>
      </c>
      <c r="H646" t="s">
        <v>7681</v>
      </c>
      <c r="I646" t="s">
        <v>128</v>
      </c>
      <c r="J646" s="2" t="s">
        <v>7682</v>
      </c>
      <c r="K646" t="s">
        <v>7683</v>
      </c>
      <c r="L646" t="s">
        <v>60</v>
      </c>
      <c r="M646" t="s">
        <v>7664</v>
      </c>
      <c r="N646" t="s">
        <v>62</v>
      </c>
      <c r="O646" t="str">
        <f>"07060"</f>
        <v>07060</v>
      </c>
      <c r="P646" t="s">
        <v>7683</v>
      </c>
      <c r="S646" t="s">
        <v>7664</v>
      </c>
      <c r="T646" t="s">
        <v>62</v>
      </c>
      <c r="U646" t="str">
        <f>"07060"</f>
        <v>07060</v>
      </c>
      <c r="W646" t="s">
        <v>7684</v>
      </c>
      <c r="X646" t="s">
        <v>70</v>
      </c>
      <c r="Y646" t="s">
        <v>3046</v>
      </c>
      <c r="Z646" t="s">
        <v>7685</v>
      </c>
      <c r="AA646" t="s">
        <v>135</v>
      </c>
      <c r="AB646" t="s">
        <v>70</v>
      </c>
      <c r="AC646" t="s">
        <v>1164</v>
      </c>
      <c r="AD646" t="s">
        <v>7686</v>
      </c>
      <c r="AE646" t="s">
        <v>181</v>
      </c>
      <c r="AF646" t="s">
        <v>70</v>
      </c>
      <c r="AG646" t="s">
        <v>1164</v>
      </c>
      <c r="AH646" t="s">
        <v>7686</v>
      </c>
      <c r="AI646" t="s">
        <v>73</v>
      </c>
      <c r="AJ646" t="s">
        <v>70</v>
      </c>
      <c r="AK646" t="s">
        <v>7687</v>
      </c>
      <c r="AL646" t="s">
        <v>1311</v>
      </c>
      <c r="AM646" t="s">
        <v>76</v>
      </c>
      <c r="AR646" t="s">
        <v>70</v>
      </c>
      <c r="AS646" t="s">
        <v>3046</v>
      </c>
      <c r="AT646" t="s">
        <v>7685</v>
      </c>
      <c r="AU646" t="s">
        <v>83</v>
      </c>
      <c r="AV646" t="s">
        <v>7688</v>
      </c>
    </row>
    <row r="647" spans="1:49">
      <c r="A647" t="str">
        <f t="shared" ref="A647:A661" si="28">"39"</f>
        <v>39</v>
      </c>
      <c r="B647" t="s">
        <v>7635</v>
      </c>
      <c r="C647" t="str">
        <f>"1320"</f>
        <v>1320</v>
      </c>
      <c r="D647" t="s">
        <v>7689</v>
      </c>
      <c r="F647" t="s">
        <v>54</v>
      </c>
      <c r="G647" t="s">
        <v>566</v>
      </c>
      <c r="H647" t="s">
        <v>7690</v>
      </c>
      <c r="I647" t="s">
        <v>57</v>
      </c>
      <c r="J647" s="2" t="s">
        <v>7691</v>
      </c>
      <c r="K647" t="s">
        <v>7692</v>
      </c>
      <c r="L647" t="s">
        <v>60</v>
      </c>
      <c r="M647" t="s">
        <v>1684</v>
      </c>
      <c r="N647" t="s">
        <v>62</v>
      </c>
      <c r="O647" t="str">
        <f>"07208"</f>
        <v>07208</v>
      </c>
      <c r="P647" t="s">
        <v>7692</v>
      </c>
      <c r="S647" t="s">
        <v>1684</v>
      </c>
      <c r="T647" t="s">
        <v>62</v>
      </c>
      <c r="U647" t="str">
        <f>"07208"</f>
        <v>07208</v>
      </c>
      <c r="W647" t="s">
        <v>7693</v>
      </c>
      <c r="X647" t="s">
        <v>77</v>
      </c>
      <c r="Y647" t="s">
        <v>3119</v>
      </c>
      <c r="Z647" t="s">
        <v>627</v>
      </c>
      <c r="AA647" t="s">
        <v>135</v>
      </c>
      <c r="AB647" t="s">
        <v>54</v>
      </c>
      <c r="AC647" t="s">
        <v>647</v>
      </c>
      <c r="AD647" t="s">
        <v>7694</v>
      </c>
      <c r="AE647" t="s">
        <v>98</v>
      </c>
      <c r="AF647" t="s">
        <v>77</v>
      </c>
      <c r="AG647" t="s">
        <v>994</v>
      </c>
      <c r="AH647" t="s">
        <v>7695</v>
      </c>
      <c r="AI647" t="s">
        <v>73</v>
      </c>
      <c r="AJ647" t="s">
        <v>54</v>
      </c>
      <c r="AK647" t="s">
        <v>2012</v>
      </c>
      <c r="AL647" t="s">
        <v>7696</v>
      </c>
      <c r="AM647" t="s">
        <v>76</v>
      </c>
      <c r="AN647" t="s">
        <v>77</v>
      </c>
      <c r="AO647" t="s">
        <v>622</v>
      </c>
      <c r="AP647" t="s">
        <v>7697</v>
      </c>
      <c r="AQ647" t="s">
        <v>80</v>
      </c>
      <c r="AR647" t="s">
        <v>77</v>
      </c>
      <c r="AS647" t="s">
        <v>281</v>
      </c>
      <c r="AT647" t="s">
        <v>7698</v>
      </c>
      <c r="AU647" t="s">
        <v>83</v>
      </c>
      <c r="AV647" t="s">
        <v>7699</v>
      </c>
      <c r="AW647" t="str">
        <f>"3404590"</f>
        <v>3404590</v>
      </c>
    </row>
    <row r="648" spans="1:49">
      <c r="A648" t="str">
        <f t="shared" si="28"/>
        <v>39</v>
      </c>
      <c r="B648" t="s">
        <v>7635</v>
      </c>
      <c r="C648" t="str">
        <f>"1710"</f>
        <v>1710</v>
      </c>
      <c r="D648" t="s">
        <v>7700</v>
      </c>
      <c r="F648" t="s">
        <v>65</v>
      </c>
      <c r="G648" t="s">
        <v>1708</v>
      </c>
      <c r="H648" t="s">
        <v>7701</v>
      </c>
      <c r="I648" t="s">
        <v>89</v>
      </c>
      <c r="J648" s="2" t="s">
        <v>7702</v>
      </c>
      <c r="K648" t="s">
        <v>7703</v>
      </c>
      <c r="L648" t="s">
        <v>60</v>
      </c>
      <c r="M648" t="s">
        <v>7704</v>
      </c>
      <c r="N648" t="s">
        <v>62</v>
      </c>
      <c r="O648" t="str">
        <f>"07027"</f>
        <v>07027</v>
      </c>
      <c r="P648" t="s">
        <v>7703</v>
      </c>
      <c r="S648" t="s">
        <v>7704</v>
      </c>
      <c r="T648" t="s">
        <v>62</v>
      </c>
      <c r="U648" t="str">
        <f>"07027"</f>
        <v>07027</v>
      </c>
      <c r="W648" t="s">
        <v>7705</v>
      </c>
      <c r="X648" t="s">
        <v>65</v>
      </c>
      <c r="Y648" t="s">
        <v>1067</v>
      </c>
      <c r="Z648" t="s">
        <v>1068</v>
      </c>
      <c r="AA648" t="s">
        <v>112</v>
      </c>
      <c r="AB648" t="s">
        <v>65</v>
      </c>
      <c r="AC648" t="s">
        <v>1708</v>
      </c>
      <c r="AD648" t="s">
        <v>7701</v>
      </c>
      <c r="AE648" t="s">
        <v>913</v>
      </c>
      <c r="AF648" t="s">
        <v>54</v>
      </c>
      <c r="AG648" t="s">
        <v>838</v>
      </c>
      <c r="AH648" t="s">
        <v>7706</v>
      </c>
      <c r="AI648" t="s">
        <v>73</v>
      </c>
      <c r="AJ648" t="s">
        <v>65</v>
      </c>
      <c r="AK648" t="s">
        <v>1708</v>
      </c>
      <c r="AL648" t="s">
        <v>7701</v>
      </c>
      <c r="AM648" t="s">
        <v>76</v>
      </c>
      <c r="AN648" t="s">
        <v>77</v>
      </c>
      <c r="AO648" t="s">
        <v>7707</v>
      </c>
      <c r="AP648" t="s">
        <v>7708</v>
      </c>
      <c r="AQ648" t="s">
        <v>80</v>
      </c>
      <c r="AR648" t="s">
        <v>65</v>
      </c>
      <c r="AS648" t="s">
        <v>1708</v>
      </c>
      <c r="AT648" t="s">
        <v>7701</v>
      </c>
      <c r="AU648" t="s">
        <v>83</v>
      </c>
      <c r="AV648" t="s">
        <v>7709</v>
      </c>
      <c r="AW648" t="str">
        <f>"3405790"</f>
        <v>3405790</v>
      </c>
    </row>
    <row r="649" spans="1:49">
      <c r="A649" t="str">
        <f t="shared" si="28"/>
        <v>39</v>
      </c>
      <c r="B649" t="s">
        <v>7635</v>
      </c>
      <c r="C649" t="str">
        <f>"2190"</f>
        <v>2190</v>
      </c>
      <c r="D649" t="s">
        <v>7710</v>
      </c>
      <c r="F649" t="s">
        <v>77</v>
      </c>
      <c r="G649" t="s">
        <v>873</v>
      </c>
      <c r="H649" t="s">
        <v>3427</v>
      </c>
      <c r="I649" t="s">
        <v>1518</v>
      </c>
      <c r="J649" s="2" t="s">
        <v>7711</v>
      </c>
      <c r="K649" t="s">
        <v>7712</v>
      </c>
      <c r="L649" t="s">
        <v>60</v>
      </c>
      <c r="M649" t="s">
        <v>7713</v>
      </c>
      <c r="N649" t="s">
        <v>62</v>
      </c>
      <c r="O649" t="str">
        <f>"07205"</f>
        <v>07205</v>
      </c>
      <c r="P649" t="s">
        <v>7712</v>
      </c>
      <c r="S649" t="s">
        <v>7713</v>
      </c>
      <c r="T649" t="s">
        <v>62</v>
      </c>
      <c r="U649" t="str">
        <f>"07205"</f>
        <v>07205</v>
      </c>
      <c r="W649" t="s">
        <v>7714</v>
      </c>
      <c r="X649" t="s">
        <v>65</v>
      </c>
      <c r="Y649" t="s">
        <v>190</v>
      </c>
      <c r="Z649" t="s">
        <v>7715</v>
      </c>
      <c r="AA649" t="s">
        <v>112</v>
      </c>
      <c r="AB649" t="s">
        <v>65</v>
      </c>
      <c r="AC649" t="s">
        <v>807</v>
      </c>
      <c r="AD649" t="s">
        <v>7716</v>
      </c>
      <c r="AE649" t="s">
        <v>69</v>
      </c>
      <c r="AF649" t="s">
        <v>54</v>
      </c>
      <c r="AG649" t="s">
        <v>233</v>
      </c>
      <c r="AH649" t="s">
        <v>7717</v>
      </c>
      <c r="AI649" t="s">
        <v>73</v>
      </c>
      <c r="AJ649" t="s">
        <v>54</v>
      </c>
      <c r="AK649" t="s">
        <v>7718</v>
      </c>
      <c r="AL649" t="s">
        <v>4574</v>
      </c>
      <c r="AM649" t="s">
        <v>76</v>
      </c>
      <c r="AN649" t="s">
        <v>54</v>
      </c>
      <c r="AO649" t="s">
        <v>811</v>
      </c>
      <c r="AP649" t="s">
        <v>7719</v>
      </c>
      <c r="AQ649" t="s">
        <v>80</v>
      </c>
      <c r="AR649" t="s">
        <v>77</v>
      </c>
      <c r="AS649" t="s">
        <v>873</v>
      </c>
      <c r="AT649" t="s">
        <v>3427</v>
      </c>
      <c r="AU649" t="s">
        <v>83</v>
      </c>
      <c r="AV649" t="s">
        <v>7720</v>
      </c>
      <c r="AW649" t="str">
        <f>"3407290"</f>
        <v>3407290</v>
      </c>
    </row>
    <row r="650" spans="1:49">
      <c r="A650" t="str">
        <f t="shared" si="28"/>
        <v>39</v>
      </c>
      <c r="B650" t="s">
        <v>7635</v>
      </c>
      <c r="C650" t="str">
        <f>"2420"</f>
        <v>2420</v>
      </c>
      <c r="D650" t="s">
        <v>7721</v>
      </c>
      <c r="F650" t="s">
        <v>77</v>
      </c>
      <c r="G650" t="s">
        <v>1095</v>
      </c>
      <c r="H650" t="s">
        <v>7722</v>
      </c>
      <c r="I650" t="s">
        <v>89</v>
      </c>
      <c r="J650" s="2" t="s">
        <v>7723</v>
      </c>
      <c r="K650" t="s">
        <v>7724</v>
      </c>
      <c r="L650" t="s">
        <v>60</v>
      </c>
      <c r="M650" t="s">
        <v>7725</v>
      </c>
      <c r="N650" t="s">
        <v>62</v>
      </c>
      <c r="O650" t="str">
        <f>"07033"</f>
        <v>07033</v>
      </c>
      <c r="P650" t="s">
        <v>7724</v>
      </c>
      <c r="S650" t="s">
        <v>7725</v>
      </c>
      <c r="T650" t="s">
        <v>62</v>
      </c>
      <c r="U650" t="str">
        <f>"07033"</f>
        <v>07033</v>
      </c>
      <c r="W650" t="s">
        <v>7726</v>
      </c>
      <c r="X650" t="s">
        <v>77</v>
      </c>
      <c r="Y650" t="s">
        <v>687</v>
      </c>
      <c r="Z650" t="s">
        <v>2207</v>
      </c>
      <c r="AA650" t="s">
        <v>135</v>
      </c>
      <c r="AB650" t="s">
        <v>70</v>
      </c>
      <c r="AC650" t="s">
        <v>711</v>
      </c>
      <c r="AD650" t="s">
        <v>7727</v>
      </c>
      <c r="AE650" t="s">
        <v>115</v>
      </c>
      <c r="AF650" t="s">
        <v>70</v>
      </c>
      <c r="AG650" t="s">
        <v>711</v>
      </c>
      <c r="AH650" t="s">
        <v>7727</v>
      </c>
      <c r="AI650" t="s">
        <v>73</v>
      </c>
      <c r="AJ650" t="s">
        <v>77</v>
      </c>
      <c r="AK650" t="s">
        <v>212</v>
      </c>
      <c r="AL650" t="s">
        <v>7728</v>
      </c>
      <c r="AM650" t="s">
        <v>76</v>
      </c>
      <c r="AN650" t="s">
        <v>77</v>
      </c>
      <c r="AO650" t="s">
        <v>2230</v>
      </c>
      <c r="AP650" t="s">
        <v>1181</v>
      </c>
      <c r="AQ650" t="s">
        <v>80</v>
      </c>
      <c r="AR650" t="s">
        <v>77</v>
      </c>
      <c r="AS650" t="s">
        <v>687</v>
      </c>
      <c r="AT650" t="s">
        <v>2207</v>
      </c>
      <c r="AU650" t="s">
        <v>83</v>
      </c>
      <c r="AV650" t="s">
        <v>7729</v>
      </c>
      <c r="AW650" t="str">
        <f>"3407920"</f>
        <v>3407920</v>
      </c>
    </row>
    <row r="651" spans="1:49">
      <c r="A651" t="str">
        <f t="shared" si="28"/>
        <v>39</v>
      </c>
      <c r="B651" t="s">
        <v>7635</v>
      </c>
      <c r="C651" t="str">
        <f>"2660"</f>
        <v>2660</v>
      </c>
      <c r="D651" t="s">
        <v>7730</v>
      </c>
      <c r="F651" t="s">
        <v>65</v>
      </c>
      <c r="G651" t="s">
        <v>7731</v>
      </c>
      <c r="H651" t="s">
        <v>7732</v>
      </c>
      <c r="I651" t="s">
        <v>89</v>
      </c>
      <c r="J651" s="2" t="s">
        <v>7733</v>
      </c>
      <c r="K651" t="s">
        <v>7734</v>
      </c>
      <c r="L651" t="s">
        <v>60</v>
      </c>
      <c r="M651" t="s">
        <v>7735</v>
      </c>
      <c r="N651" t="s">
        <v>62</v>
      </c>
      <c r="O651" t="s">
        <v>7736</v>
      </c>
      <c r="P651" t="s">
        <v>7734</v>
      </c>
      <c r="S651" t="s">
        <v>7735</v>
      </c>
      <c r="T651" t="s">
        <v>62</v>
      </c>
      <c r="U651" t="str">
        <f>"07036"</f>
        <v>07036</v>
      </c>
      <c r="V651" t="str">
        <f>"6500"</f>
        <v>6500</v>
      </c>
      <c r="W651" t="s">
        <v>7737</v>
      </c>
      <c r="X651" t="s">
        <v>70</v>
      </c>
      <c r="Y651" t="s">
        <v>771</v>
      </c>
      <c r="Z651" t="s">
        <v>7738</v>
      </c>
      <c r="AA651" t="s">
        <v>135</v>
      </c>
      <c r="AB651" t="s">
        <v>65</v>
      </c>
      <c r="AC651" t="s">
        <v>1117</v>
      </c>
      <c r="AD651" t="s">
        <v>7739</v>
      </c>
      <c r="AE651" t="s">
        <v>98</v>
      </c>
      <c r="AF651" t="s">
        <v>70</v>
      </c>
      <c r="AG651" t="s">
        <v>7740</v>
      </c>
      <c r="AH651" t="s">
        <v>677</v>
      </c>
      <c r="AI651" t="s">
        <v>73</v>
      </c>
      <c r="AJ651" t="s">
        <v>77</v>
      </c>
      <c r="AK651" t="s">
        <v>7741</v>
      </c>
      <c r="AL651" t="s">
        <v>7742</v>
      </c>
      <c r="AM651" t="s">
        <v>76</v>
      </c>
      <c r="AN651" t="s">
        <v>77</v>
      </c>
      <c r="AO651" t="s">
        <v>358</v>
      </c>
      <c r="AP651" t="s">
        <v>7743</v>
      </c>
      <c r="AQ651" t="s">
        <v>80</v>
      </c>
      <c r="AR651" t="s">
        <v>77</v>
      </c>
      <c r="AS651" t="s">
        <v>190</v>
      </c>
      <c r="AT651" t="s">
        <v>4177</v>
      </c>
      <c r="AU651" t="s">
        <v>83</v>
      </c>
      <c r="AV651" t="s">
        <v>7744</v>
      </c>
      <c r="AW651" t="str">
        <f>"3408610"</f>
        <v>3408610</v>
      </c>
    </row>
    <row r="652" spans="1:49">
      <c r="A652" t="str">
        <f t="shared" si="28"/>
        <v>39</v>
      </c>
      <c r="B652" t="s">
        <v>7635</v>
      </c>
      <c r="C652" t="str">
        <f>"3395"</f>
        <v>3395</v>
      </c>
      <c r="D652" t="s">
        <v>7745</v>
      </c>
      <c r="F652" t="s">
        <v>65</v>
      </c>
      <c r="G652" t="s">
        <v>651</v>
      </c>
      <c r="H652" t="s">
        <v>7746</v>
      </c>
      <c r="I652" t="s">
        <v>89</v>
      </c>
      <c r="J652" s="2" t="s">
        <v>7747</v>
      </c>
      <c r="K652" t="s">
        <v>7748</v>
      </c>
      <c r="L652" t="s">
        <v>60</v>
      </c>
      <c r="M652" t="s">
        <v>7749</v>
      </c>
      <c r="N652" t="s">
        <v>62</v>
      </c>
      <c r="O652" t="str">
        <f>"07094"</f>
        <v>07094</v>
      </c>
      <c r="P652" t="s">
        <v>7748</v>
      </c>
      <c r="S652" t="s">
        <v>7749</v>
      </c>
      <c r="T652" t="s">
        <v>62</v>
      </c>
      <c r="U652" t="str">
        <f>"07094"</f>
        <v>07094</v>
      </c>
      <c r="W652" t="s">
        <v>7750</v>
      </c>
      <c r="X652" t="s">
        <v>77</v>
      </c>
      <c r="Y652" t="s">
        <v>120</v>
      </c>
      <c r="Z652" t="s">
        <v>7751</v>
      </c>
      <c r="AA652" t="s">
        <v>135</v>
      </c>
      <c r="AB652" t="s">
        <v>77</v>
      </c>
      <c r="AC652" t="s">
        <v>243</v>
      </c>
      <c r="AD652" t="s">
        <v>7752</v>
      </c>
      <c r="AE652" t="s">
        <v>98</v>
      </c>
      <c r="AF652" t="s">
        <v>77</v>
      </c>
      <c r="AG652" t="s">
        <v>281</v>
      </c>
      <c r="AH652" t="s">
        <v>5438</v>
      </c>
      <c r="AI652" t="s">
        <v>73</v>
      </c>
      <c r="AJ652" t="s">
        <v>70</v>
      </c>
      <c r="AK652" t="s">
        <v>809</v>
      </c>
      <c r="AL652" t="s">
        <v>7753</v>
      </c>
      <c r="AM652" t="s">
        <v>76</v>
      </c>
      <c r="AN652" t="s">
        <v>77</v>
      </c>
      <c r="AO652" t="s">
        <v>436</v>
      </c>
      <c r="AP652" t="s">
        <v>7754</v>
      </c>
      <c r="AQ652" t="s">
        <v>80</v>
      </c>
      <c r="AR652" t="s">
        <v>77</v>
      </c>
      <c r="AS652" t="s">
        <v>281</v>
      </c>
      <c r="AT652" t="s">
        <v>5438</v>
      </c>
      <c r="AU652" t="s">
        <v>83</v>
      </c>
      <c r="AV652" t="s">
        <v>7755</v>
      </c>
      <c r="AW652" t="str">
        <f>"3400005"</f>
        <v>3400005</v>
      </c>
    </row>
    <row r="653" spans="1:49">
      <c r="A653" t="str">
        <f t="shared" si="28"/>
        <v>39</v>
      </c>
      <c r="B653" t="s">
        <v>7635</v>
      </c>
      <c r="C653" t="str">
        <f>"3470"</f>
        <v>3470</v>
      </c>
      <c r="D653" t="s">
        <v>7756</v>
      </c>
      <c r="F653" t="s">
        <v>54</v>
      </c>
      <c r="G653" t="s">
        <v>651</v>
      </c>
      <c r="H653" t="s">
        <v>7757</v>
      </c>
      <c r="I653" t="s">
        <v>89</v>
      </c>
      <c r="J653" s="2" t="s">
        <v>7758</v>
      </c>
      <c r="K653" t="s">
        <v>7759</v>
      </c>
      <c r="L653" t="s">
        <v>60</v>
      </c>
      <c r="M653" t="s">
        <v>7760</v>
      </c>
      <c r="N653" t="s">
        <v>62</v>
      </c>
      <c r="O653" t="str">
        <f>"07092"</f>
        <v>07092</v>
      </c>
      <c r="P653" t="s">
        <v>7759</v>
      </c>
      <c r="S653" t="s">
        <v>7760</v>
      </c>
      <c r="T653" t="s">
        <v>62</v>
      </c>
      <c r="U653" t="str">
        <f>"07092"</f>
        <v>07092</v>
      </c>
      <c r="W653" t="s">
        <v>7761</v>
      </c>
      <c r="X653" t="s">
        <v>77</v>
      </c>
      <c r="Y653" t="s">
        <v>1479</v>
      </c>
      <c r="Z653" t="s">
        <v>7762</v>
      </c>
      <c r="AA653" t="s">
        <v>135</v>
      </c>
      <c r="AB653" t="s">
        <v>54</v>
      </c>
      <c r="AC653" t="s">
        <v>7763</v>
      </c>
      <c r="AD653" t="s">
        <v>7764</v>
      </c>
      <c r="AE653" t="s">
        <v>69</v>
      </c>
      <c r="AF653" t="s">
        <v>54</v>
      </c>
      <c r="AG653" t="s">
        <v>251</v>
      </c>
      <c r="AH653" t="s">
        <v>7765</v>
      </c>
      <c r="AI653" t="s">
        <v>73</v>
      </c>
      <c r="AJ653" t="s">
        <v>54</v>
      </c>
      <c r="AK653" t="s">
        <v>771</v>
      </c>
      <c r="AL653" t="s">
        <v>7766</v>
      </c>
      <c r="AM653" t="s">
        <v>76</v>
      </c>
      <c r="AN653" t="s">
        <v>77</v>
      </c>
      <c r="AO653" t="s">
        <v>243</v>
      </c>
      <c r="AP653" t="s">
        <v>7767</v>
      </c>
      <c r="AQ653" t="s">
        <v>80</v>
      </c>
      <c r="AR653" t="s">
        <v>54</v>
      </c>
      <c r="AS653" t="s">
        <v>651</v>
      </c>
      <c r="AT653" t="s">
        <v>7757</v>
      </c>
      <c r="AU653" t="s">
        <v>83</v>
      </c>
      <c r="AV653" t="s">
        <v>7768</v>
      </c>
      <c r="AW653" t="str">
        <f>"3411040"</f>
        <v>3411040</v>
      </c>
    </row>
    <row r="654" spans="1:49">
      <c r="A654" t="str">
        <f t="shared" si="28"/>
        <v>39</v>
      </c>
      <c r="B654" t="s">
        <v>7635</v>
      </c>
      <c r="C654" t="str">
        <f>"3560"</f>
        <v>3560</v>
      </c>
      <c r="D654" t="s">
        <v>7769</v>
      </c>
      <c r="F654" t="s">
        <v>65</v>
      </c>
      <c r="G654" t="s">
        <v>190</v>
      </c>
      <c r="H654" t="s">
        <v>7770</v>
      </c>
      <c r="I654" t="s">
        <v>89</v>
      </c>
      <c r="J654" s="2" t="s">
        <v>7771</v>
      </c>
      <c r="K654" t="s">
        <v>7772</v>
      </c>
      <c r="L654" t="s">
        <v>60</v>
      </c>
      <c r="M654" t="s">
        <v>7749</v>
      </c>
      <c r="N654" t="s">
        <v>62</v>
      </c>
      <c r="O654" t="s">
        <v>7773</v>
      </c>
      <c r="P654" t="s">
        <v>7772</v>
      </c>
      <c r="S654" t="s">
        <v>7749</v>
      </c>
      <c r="T654" t="s">
        <v>62</v>
      </c>
      <c r="U654" t="str">
        <f>"07974"</f>
        <v>07974</v>
      </c>
      <c r="V654" t="str">
        <f>"1838"</f>
        <v>1838</v>
      </c>
      <c r="W654" t="s">
        <v>7774</v>
      </c>
      <c r="X654" t="s">
        <v>77</v>
      </c>
      <c r="Y654" t="s">
        <v>182</v>
      </c>
      <c r="Z654" t="s">
        <v>4266</v>
      </c>
      <c r="AA654" t="s">
        <v>135</v>
      </c>
      <c r="AB654" t="s">
        <v>65</v>
      </c>
      <c r="AC654" t="s">
        <v>358</v>
      </c>
      <c r="AD654" t="s">
        <v>7775</v>
      </c>
      <c r="AE654" t="s">
        <v>98</v>
      </c>
      <c r="AF654" t="s">
        <v>54</v>
      </c>
      <c r="AG654" t="s">
        <v>71</v>
      </c>
      <c r="AH654" t="s">
        <v>7776</v>
      </c>
      <c r="AI654" t="s">
        <v>73</v>
      </c>
      <c r="AJ654" t="s">
        <v>77</v>
      </c>
      <c r="AK654" t="s">
        <v>328</v>
      </c>
      <c r="AL654" t="s">
        <v>7777</v>
      </c>
      <c r="AM654" t="s">
        <v>76</v>
      </c>
      <c r="AN654" t="s">
        <v>77</v>
      </c>
      <c r="AO654" t="s">
        <v>5134</v>
      </c>
      <c r="AP654" t="s">
        <v>7778</v>
      </c>
      <c r="AQ654" t="s">
        <v>80</v>
      </c>
      <c r="AR654" t="s">
        <v>54</v>
      </c>
      <c r="AS654" t="s">
        <v>71</v>
      </c>
      <c r="AT654" t="s">
        <v>7776</v>
      </c>
      <c r="AU654" t="s">
        <v>83</v>
      </c>
      <c r="AV654" t="s">
        <v>7779</v>
      </c>
      <c r="AW654" t="str">
        <f>"3411310"</f>
        <v>3411310</v>
      </c>
    </row>
    <row r="655" spans="1:49">
      <c r="A655" t="str">
        <f t="shared" si="28"/>
        <v>39</v>
      </c>
      <c r="B655" t="s">
        <v>7635</v>
      </c>
      <c r="C655" t="str">
        <f>"4160"</f>
        <v>4160</v>
      </c>
      <c r="D655" t="s">
        <v>7780</v>
      </c>
      <c r="F655" t="s">
        <v>65</v>
      </c>
      <c r="G655" t="s">
        <v>647</v>
      </c>
      <c r="H655" t="s">
        <v>600</v>
      </c>
      <c r="I655" t="s">
        <v>89</v>
      </c>
      <c r="J655" s="2" t="s">
        <v>7781</v>
      </c>
      <c r="K655" t="s">
        <v>7782</v>
      </c>
      <c r="L655" t="s">
        <v>60</v>
      </c>
      <c r="M655" t="s">
        <v>7664</v>
      </c>
      <c r="N655" t="s">
        <v>62</v>
      </c>
      <c r="O655" t="s">
        <v>7783</v>
      </c>
      <c r="P655" t="s">
        <v>7782</v>
      </c>
      <c r="S655" t="s">
        <v>7664</v>
      </c>
      <c r="T655" t="s">
        <v>62</v>
      </c>
      <c r="U655" t="str">
        <f>"07063"</f>
        <v>07063</v>
      </c>
      <c r="V655" t="str">
        <f>"1139"</f>
        <v>1139</v>
      </c>
      <c r="W655" t="s">
        <v>7784</v>
      </c>
      <c r="X655" t="s">
        <v>77</v>
      </c>
      <c r="Y655" t="s">
        <v>310</v>
      </c>
      <c r="Z655" t="s">
        <v>7785</v>
      </c>
      <c r="AA655" t="s">
        <v>616</v>
      </c>
      <c r="AB655" t="s">
        <v>54</v>
      </c>
      <c r="AC655" t="s">
        <v>1684</v>
      </c>
      <c r="AD655" t="s">
        <v>7786</v>
      </c>
      <c r="AE655" t="s">
        <v>115</v>
      </c>
      <c r="AF655" t="s">
        <v>70</v>
      </c>
      <c r="AG655" t="s">
        <v>809</v>
      </c>
      <c r="AH655" t="s">
        <v>7787</v>
      </c>
      <c r="AI655" t="s">
        <v>73</v>
      </c>
      <c r="AJ655" t="s">
        <v>54</v>
      </c>
      <c r="AK655" t="s">
        <v>5635</v>
      </c>
      <c r="AL655" t="s">
        <v>7788</v>
      </c>
      <c r="AM655" t="s">
        <v>76</v>
      </c>
      <c r="AR655" t="s">
        <v>77</v>
      </c>
      <c r="AS655" t="s">
        <v>7789</v>
      </c>
      <c r="AT655" t="s">
        <v>510</v>
      </c>
      <c r="AU655" t="s">
        <v>83</v>
      </c>
      <c r="AV655" t="s">
        <v>7790</v>
      </c>
      <c r="AW655" t="str">
        <f>"3413140"</f>
        <v>3413140</v>
      </c>
    </row>
    <row r="656" spans="1:49">
      <c r="A656" t="str">
        <f t="shared" si="28"/>
        <v>39</v>
      </c>
      <c r="B656" t="s">
        <v>7635</v>
      </c>
      <c r="C656" t="str">
        <f>"4290"</f>
        <v>4290</v>
      </c>
      <c r="D656" t="s">
        <v>7791</v>
      </c>
      <c r="F656" t="s">
        <v>65</v>
      </c>
      <c r="G656" t="s">
        <v>233</v>
      </c>
      <c r="H656" t="s">
        <v>7792</v>
      </c>
      <c r="I656" t="s">
        <v>57</v>
      </c>
      <c r="J656" s="2" t="s">
        <v>7793</v>
      </c>
      <c r="K656" t="s">
        <v>7794</v>
      </c>
      <c r="L656" t="s">
        <v>7795</v>
      </c>
      <c r="M656" t="s">
        <v>7796</v>
      </c>
      <c r="N656" t="s">
        <v>62</v>
      </c>
      <c r="O656" t="str">
        <f>"07065"</f>
        <v>07065</v>
      </c>
      <c r="P656" t="s">
        <v>7794</v>
      </c>
      <c r="Q656" t="s">
        <v>7797</v>
      </c>
      <c r="S656" t="s">
        <v>7796</v>
      </c>
      <c r="T656" t="s">
        <v>62</v>
      </c>
      <c r="U656" t="str">
        <f>"07065"</f>
        <v>07065</v>
      </c>
      <c r="W656" t="s">
        <v>7798</v>
      </c>
      <c r="X656" t="s">
        <v>70</v>
      </c>
      <c r="Y656" t="s">
        <v>233</v>
      </c>
      <c r="Z656" t="s">
        <v>454</v>
      </c>
      <c r="AA656" t="s">
        <v>112</v>
      </c>
      <c r="AB656" t="s">
        <v>77</v>
      </c>
      <c r="AC656" t="s">
        <v>2919</v>
      </c>
      <c r="AD656" t="s">
        <v>7799</v>
      </c>
      <c r="AE656" t="s">
        <v>587</v>
      </c>
      <c r="AF656" t="s">
        <v>77</v>
      </c>
      <c r="AG656" t="s">
        <v>273</v>
      </c>
      <c r="AH656" t="s">
        <v>7800</v>
      </c>
      <c r="AI656" t="s">
        <v>73</v>
      </c>
      <c r="AJ656" t="s">
        <v>54</v>
      </c>
      <c r="AK656" t="s">
        <v>1164</v>
      </c>
      <c r="AL656" t="s">
        <v>7801</v>
      </c>
      <c r="AM656" t="s">
        <v>76</v>
      </c>
      <c r="AR656" t="s">
        <v>70</v>
      </c>
      <c r="AS656" t="s">
        <v>233</v>
      </c>
      <c r="AT656" t="s">
        <v>454</v>
      </c>
      <c r="AU656" t="s">
        <v>83</v>
      </c>
      <c r="AV656" t="s">
        <v>7802</v>
      </c>
      <c r="AW656" t="str">
        <f>"3413530"</f>
        <v>3413530</v>
      </c>
    </row>
    <row r="657" spans="1:49">
      <c r="A657" t="str">
        <f t="shared" si="28"/>
        <v>39</v>
      </c>
      <c r="B657" t="s">
        <v>7635</v>
      </c>
      <c r="C657" t="str">
        <f>"4550"</f>
        <v>4550</v>
      </c>
      <c r="D657" t="s">
        <v>7803</v>
      </c>
      <c r="F657" t="s">
        <v>77</v>
      </c>
      <c r="G657" t="s">
        <v>441</v>
      </c>
      <c r="H657" t="s">
        <v>7804</v>
      </c>
      <c r="I657" t="s">
        <v>89</v>
      </c>
      <c r="J657" s="2" t="s">
        <v>7805</v>
      </c>
      <c r="K657" t="s">
        <v>7806</v>
      </c>
      <c r="L657" t="s">
        <v>60</v>
      </c>
      <c r="M657" t="s">
        <v>7807</v>
      </c>
      <c r="N657" t="s">
        <v>62</v>
      </c>
      <c r="O657" t="str">
        <f>"07204"</f>
        <v>07204</v>
      </c>
      <c r="P657" t="s">
        <v>7806</v>
      </c>
      <c r="S657" t="s">
        <v>7807</v>
      </c>
      <c r="T657" t="s">
        <v>62</v>
      </c>
      <c r="U657" t="str">
        <f>"07204"</f>
        <v>07204</v>
      </c>
      <c r="W657" t="s">
        <v>7808</v>
      </c>
      <c r="X657" t="s">
        <v>54</v>
      </c>
      <c r="Y657" t="s">
        <v>116</v>
      </c>
      <c r="Z657" t="s">
        <v>7809</v>
      </c>
      <c r="AA657" t="s">
        <v>135</v>
      </c>
      <c r="AB657" t="s">
        <v>54</v>
      </c>
      <c r="AC657" t="s">
        <v>1117</v>
      </c>
      <c r="AD657" t="s">
        <v>7810</v>
      </c>
      <c r="AE657" t="s">
        <v>98</v>
      </c>
      <c r="AF657" t="s">
        <v>70</v>
      </c>
      <c r="AG657" t="s">
        <v>4801</v>
      </c>
      <c r="AH657" t="s">
        <v>7811</v>
      </c>
      <c r="AI657" t="s">
        <v>73</v>
      </c>
      <c r="AJ657" t="s">
        <v>54</v>
      </c>
      <c r="AK657" t="s">
        <v>3566</v>
      </c>
      <c r="AL657" t="s">
        <v>7812</v>
      </c>
      <c r="AM657" t="s">
        <v>76</v>
      </c>
      <c r="AN657" t="s">
        <v>77</v>
      </c>
      <c r="AO657" t="s">
        <v>287</v>
      </c>
      <c r="AP657" t="s">
        <v>7813</v>
      </c>
      <c r="AQ657" t="s">
        <v>80</v>
      </c>
      <c r="AR657" t="s">
        <v>77</v>
      </c>
      <c r="AS657" t="s">
        <v>182</v>
      </c>
      <c r="AT657" t="s">
        <v>7814</v>
      </c>
      <c r="AU657" t="s">
        <v>83</v>
      </c>
      <c r="AV657" t="s">
        <v>7815</v>
      </c>
      <c r="AW657" t="str">
        <f>"3414310"</f>
        <v>3414310</v>
      </c>
    </row>
    <row r="658" spans="1:49">
      <c r="A658" t="str">
        <f t="shared" si="28"/>
        <v>39</v>
      </c>
      <c r="B658" t="s">
        <v>7635</v>
      </c>
      <c r="C658" t="str">
        <f>"4540"</f>
        <v>4540</v>
      </c>
      <c r="D658" t="s">
        <v>7816</v>
      </c>
      <c r="F658" t="s">
        <v>65</v>
      </c>
      <c r="G658" t="s">
        <v>3699</v>
      </c>
      <c r="H658" t="s">
        <v>4086</v>
      </c>
      <c r="I658" t="s">
        <v>89</v>
      </c>
      <c r="J658" s="2" t="s">
        <v>7817</v>
      </c>
      <c r="K658" t="s">
        <v>7818</v>
      </c>
      <c r="L658" t="s">
        <v>60</v>
      </c>
      <c r="M658" t="s">
        <v>7819</v>
      </c>
      <c r="N658" t="s">
        <v>62</v>
      </c>
      <c r="O658" t="str">
        <f>"07203"</f>
        <v>07203</v>
      </c>
      <c r="P658" t="s">
        <v>7818</v>
      </c>
      <c r="S658" t="s">
        <v>7819</v>
      </c>
      <c r="T658" t="s">
        <v>62</v>
      </c>
      <c r="U658" t="str">
        <f>"07203"</f>
        <v>07203</v>
      </c>
      <c r="W658" t="s">
        <v>7820</v>
      </c>
      <c r="X658" t="s">
        <v>77</v>
      </c>
      <c r="Y658" t="s">
        <v>166</v>
      </c>
      <c r="Z658" t="s">
        <v>7821</v>
      </c>
      <c r="AA658" t="s">
        <v>135</v>
      </c>
      <c r="AB658" t="s">
        <v>54</v>
      </c>
      <c r="AC658" t="s">
        <v>851</v>
      </c>
      <c r="AD658" t="s">
        <v>7822</v>
      </c>
      <c r="AE658" t="s">
        <v>98</v>
      </c>
      <c r="AF658" t="s">
        <v>54</v>
      </c>
      <c r="AG658" t="s">
        <v>541</v>
      </c>
      <c r="AH658" t="s">
        <v>7823</v>
      </c>
      <c r="AI658" t="s">
        <v>73</v>
      </c>
      <c r="AJ658" t="s">
        <v>70</v>
      </c>
      <c r="AK658" t="s">
        <v>465</v>
      </c>
      <c r="AL658" t="s">
        <v>7824</v>
      </c>
      <c r="AM658" t="s">
        <v>76</v>
      </c>
      <c r="AN658" t="s">
        <v>77</v>
      </c>
      <c r="AO658" t="s">
        <v>1704</v>
      </c>
      <c r="AP658" t="s">
        <v>7825</v>
      </c>
      <c r="AQ658" t="s">
        <v>80</v>
      </c>
      <c r="AR658" t="s">
        <v>77</v>
      </c>
      <c r="AS658" t="s">
        <v>4838</v>
      </c>
      <c r="AT658" t="s">
        <v>7826</v>
      </c>
      <c r="AU658" t="s">
        <v>83</v>
      </c>
      <c r="AV658" t="s">
        <v>7827</v>
      </c>
      <c r="AW658" t="str">
        <f>"3414280"</f>
        <v>3414280</v>
      </c>
    </row>
    <row r="659" spans="1:49">
      <c r="A659" t="str">
        <f t="shared" si="28"/>
        <v>39</v>
      </c>
      <c r="B659" t="s">
        <v>7635</v>
      </c>
      <c r="C659" t="str">
        <f>"4670"</f>
        <v>4670</v>
      </c>
      <c r="D659" t="s">
        <v>7828</v>
      </c>
      <c r="F659" t="s">
        <v>65</v>
      </c>
      <c r="G659" t="s">
        <v>55</v>
      </c>
      <c r="H659" t="s">
        <v>7829</v>
      </c>
      <c r="I659" t="s">
        <v>89</v>
      </c>
      <c r="J659" s="2" t="s">
        <v>7830</v>
      </c>
      <c r="K659" t="s">
        <v>7831</v>
      </c>
      <c r="L659" t="s">
        <v>60</v>
      </c>
      <c r="M659" t="s">
        <v>7832</v>
      </c>
      <c r="N659" t="s">
        <v>62</v>
      </c>
      <c r="O659" t="str">
        <f>"07076"</f>
        <v>07076</v>
      </c>
      <c r="P659" t="s">
        <v>7831</v>
      </c>
      <c r="S659" t="s">
        <v>7832</v>
      </c>
      <c r="T659" t="s">
        <v>62</v>
      </c>
      <c r="U659" t="str">
        <f>"07076"</f>
        <v>07076</v>
      </c>
      <c r="W659" t="s">
        <v>7833</v>
      </c>
      <c r="X659" t="s">
        <v>70</v>
      </c>
      <c r="Y659" t="s">
        <v>1209</v>
      </c>
      <c r="Z659" t="s">
        <v>7834</v>
      </c>
      <c r="AA659" t="s">
        <v>135</v>
      </c>
      <c r="AB659" t="s">
        <v>70</v>
      </c>
      <c r="AC659" t="s">
        <v>150</v>
      </c>
      <c r="AD659" t="s">
        <v>7835</v>
      </c>
      <c r="AE659" t="s">
        <v>98</v>
      </c>
      <c r="AF659" t="s">
        <v>70</v>
      </c>
      <c r="AG659" t="s">
        <v>150</v>
      </c>
      <c r="AH659" t="s">
        <v>7836</v>
      </c>
      <c r="AI659" t="s">
        <v>73</v>
      </c>
      <c r="AJ659" t="s">
        <v>70</v>
      </c>
      <c r="AK659" t="s">
        <v>150</v>
      </c>
      <c r="AL659" t="s">
        <v>593</v>
      </c>
      <c r="AM659" t="s">
        <v>76</v>
      </c>
      <c r="AN659" t="s">
        <v>77</v>
      </c>
      <c r="AO659" t="s">
        <v>965</v>
      </c>
      <c r="AP659" t="s">
        <v>7837</v>
      </c>
      <c r="AQ659" t="s">
        <v>80</v>
      </c>
      <c r="AR659" t="s">
        <v>70</v>
      </c>
      <c r="AS659" t="s">
        <v>1209</v>
      </c>
      <c r="AT659" t="s">
        <v>7834</v>
      </c>
      <c r="AU659" t="s">
        <v>83</v>
      </c>
      <c r="AV659" t="s">
        <v>7838</v>
      </c>
      <c r="AW659" t="str">
        <f>"3414670"</f>
        <v>3414670</v>
      </c>
    </row>
    <row r="660" spans="1:49">
      <c r="A660" t="str">
        <f t="shared" si="28"/>
        <v>39</v>
      </c>
      <c r="B660" t="s">
        <v>7635</v>
      </c>
      <c r="C660" t="str">
        <f>"5000"</f>
        <v>5000</v>
      </c>
      <c r="D660" t="s">
        <v>7839</v>
      </c>
      <c r="F660" t="s">
        <v>54</v>
      </c>
      <c r="G660" t="s">
        <v>2015</v>
      </c>
      <c r="H660" t="s">
        <v>400</v>
      </c>
      <c r="I660" t="s">
        <v>89</v>
      </c>
      <c r="J660" s="2" t="s">
        <v>7840</v>
      </c>
      <c r="K660" t="s">
        <v>7841</v>
      </c>
      <c r="L660" t="s">
        <v>60</v>
      </c>
      <c r="M660" t="s">
        <v>7842</v>
      </c>
      <c r="N660" t="s">
        <v>62</v>
      </c>
      <c r="O660" t="s">
        <v>7843</v>
      </c>
      <c r="P660" t="s">
        <v>7841</v>
      </c>
      <c r="S660" t="s">
        <v>7842</v>
      </c>
      <c r="T660" t="s">
        <v>62</v>
      </c>
      <c r="U660" t="str">
        <f>"07081"</f>
        <v>07081</v>
      </c>
      <c r="V660" t="str">
        <f>"1701"</f>
        <v>1701</v>
      </c>
      <c r="W660" t="s">
        <v>7844</v>
      </c>
      <c r="X660" t="s">
        <v>77</v>
      </c>
      <c r="Y660" t="s">
        <v>281</v>
      </c>
      <c r="Z660" t="s">
        <v>7657</v>
      </c>
      <c r="AA660" t="s">
        <v>135</v>
      </c>
      <c r="AB660" t="s">
        <v>54</v>
      </c>
      <c r="AC660" t="s">
        <v>1910</v>
      </c>
      <c r="AD660" t="s">
        <v>7845</v>
      </c>
      <c r="AE660" t="s">
        <v>587</v>
      </c>
      <c r="AF660" t="s">
        <v>54</v>
      </c>
      <c r="AG660" t="s">
        <v>682</v>
      </c>
      <c r="AH660" t="s">
        <v>649</v>
      </c>
      <c r="AI660" t="s">
        <v>73</v>
      </c>
      <c r="AJ660" t="s">
        <v>54</v>
      </c>
      <c r="AK660" t="s">
        <v>1552</v>
      </c>
      <c r="AL660" t="s">
        <v>7846</v>
      </c>
      <c r="AM660" t="s">
        <v>76</v>
      </c>
      <c r="AN660" t="s">
        <v>70</v>
      </c>
      <c r="AO660" t="s">
        <v>7847</v>
      </c>
      <c r="AP660" t="s">
        <v>2716</v>
      </c>
      <c r="AQ660" t="s">
        <v>80</v>
      </c>
      <c r="AR660" t="s">
        <v>54</v>
      </c>
      <c r="AS660" t="s">
        <v>682</v>
      </c>
      <c r="AT660" t="s">
        <v>649</v>
      </c>
      <c r="AU660" t="s">
        <v>83</v>
      </c>
      <c r="AV660" t="s">
        <v>7848</v>
      </c>
      <c r="AW660" t="str">
        <f>"3415630"</f>
        <v>3415630</v>
      </c>
    </row>
    <row r="661" spans="1:49">
      <c r="A661" t="str">
        <f t="shared" si="28"/>
        <v>39</v>
      </c>
      <c r="B661" t="s">
        <v>7635</v>
      </c>
      <c r="C661" t="str">
        <f>"5090"</f>
        <v>5090</v>
      </c>
      <c r="D661" t="s">
        <v>7849</v>
      </c>
      <c r="F661" t="s">
        <v>77</v>
      </c>
      <c r="G661" t="s">
        <v>436</v>
      </c>
      <c r="H661" t="s">
        <v>1709</v>
      </c>
      <c r="I661" t="s">
        <v>57</v>
      </c>
      <c r="J661" s="2" t="s">
        <v>7850</v>
      </c>
      <c r="K661" t="s">
        <v>7851</v>
      </c>
      <c r="L661" t="s">
        <v>60</v>
      </c>
      <c r="M661" t="s">
        <v>7852</v>
      </c>
      <c r="N661" t="s">
        <v>62</v>
      </c>
      <c r="O661" t="str">
        <f>"07901"</f>
        <v>07901</v>
      </c>
      <c r="P661" t="s">
        <v>7851</v>
      </c>
      <c r="S661" t="s">
        <v>7852</v>
      </c>
      <c r="T661" t="s">
        <v>62</v>
      </c>
      <c r="U661" t="str">
        <f>"07901"</f>
        <v>07901</v>
      </c>
      <c r="W661" t="s">
        <v>7853</v>
      </c>
      <c r="X661" t="s">
        <v>77</v>
      </c>
      <c r="Y661" t="s">
        <v>677</v>
      </c>
      <c r="Z661" t="s">
        <v>7336</v>
      </c>
      <c r="AA661" t="s">
        <v>135</v>
      </c>
      <c r="AB661" t="s">
        <v>54</v>
      </c>
      <c r="AC661" t="s">
        <v>1168</v>
      </c>
      <c r="AD661" t="s">
        <v>7854</v>
      </c>
      <c r="AE661" t="s">
        <v>98</v>
      </c>
      <c r="AF661" t="s">
        <v>54</v>
      </c>
      <c r="AG661" t="s">
        <v>932</v>
      </c>
      <c r="AH661" t="s">
        <v>1585</v>
      </c>
      <c r="AI661" t="s">
        <v>73</v>
      </c>
      <c r="AJ661" t="s">
        <v>54</v>
      </c>
      <c r="AK661" t="s">
        <v>155</v>
      </c>
      <c r="AL661" t="s">
        <v>560</v>
      </c>
      <c r="AM661" t="s">
        <v>76</v>
      </c>
      <c r="AN661" t="s">
        <v>77</v>
      </c>
      <c r="AO661" t="s">
        <v>1061</v>
      </c>
      <c r="AP661" t="s">
        <v>7855</v>
      </c>
      <c r="AQ661" t="s">
        <v>80</v>
      </c>
      <c r="AR661" t="s">
        <v>77</v>
      </c>
      <c r="AS661" t="s">
        <v>677</v>
      </c>
      <c r="AT661" t="s">
        <v>7336</v>
      </c>
      <c r="AU661" t="s">
        <v>83</v>
      </c>
      <c r="AV661" t="s">
        <v>7856</v>
      </c>
      <c r="AW661" t="str">
        <f>"3415900"</f>
        <v>3415900</v>
      </c>
    </row>
    <row r="662" spans="1:49">
      <c r="A662" t="str">
        <f>"80"</f>
        <v>80</v>
      </c>
      <c r="B662" t="s">
        <v>7635</v>
      </c>
      <c r="C662" t="str">
        <f>"6033"</f>
        <v>6033</v>
      </c>
      <c r="D662" t="s">
        <v>7857</v>
      </c>
      <c r="E662" t="str">
        <f>"902"</f>
        <v>902</v>
      </c>
      <c r="F662" t="s">
        <v>54</v>
      </c>
      <c r="G662" t="s">
        <v>164</v>
      </c>
      <c r="H662" t="s">
        <v>7858</v>
      </c>
      <c r="I662" t="s">
        <v>128</v>
      </c>
      <c r="J662" s="2" t="s">
        <v>7859</v>
      </c>
      <c r="K662" t="s">
        <v>7860</v>
      </c>
      <c r="L662" t="s">
        <v>60</v>
      </c>
      <c r="M662" t="s">
        <v>7664</v>
      </c>
      <c r="N662" t="s">
        <v>62</v>
      </c>
      <c r="O662" t="s">
        <v>7861</v>
      </c>
      <c r="P662" t="s">
        <v>7860</v>
      </c>
      <c r="S662" t="s">
        <v>7664</v>
      </c>
      <c r="T662" t="s">
        <v>62</v>
      </c>
      <c r="U662" t="str">
        <f>"07060"</f>
        <v>07060</v>
      </c>
      <c r="V662" t="str">
        <f>"1007"</f>
        <v>1007</v>
      </c>
      <c r="W662" t="s">
        <v>7862</v>
      </c>
      <c r="X662" t="s">
        <v>70</v>
      </c>
      <c r="Y662" t="s">
        <v>55</v>
      </c>
      <c r="Z662" t="s">
        <v>7863</v>
      </c>
      <c r="AA662" t="s">
        <v>112</v>
      </c>
      <c r="AB662" t="s">
        <v>54</v>
      </c>
      <c r="AC662" t="s">
        <v>155</v>
      </c>
      <c r="AD662" t="s">
        <v>7864</v>
      </c>
      <c r="AE662" t="s">
        <v>181</v>
      </c>
      <c r="AF662" t="s">
        <v>70</v>
      </c>
      <c r="AG662" t="s">
        <v>7865</v>
      </c>
      <c r="AH662" t="s">
        <v>134</v>
      </c>
      <c r="AI662" t="s">
        <v>73</v>
      </c>
      <c r="AJ662" t="s">
        <v>54</v>
      </c>
      <c r="AK662" t="s">
        <v>155</v>
      </c>
      <c r="AL662" t="s">
        <v>7864</v>
      </c>
      <c r="AM662" t="s">
        <v>76</v>
      </c>
      <c r="AN662" t="s">
        <v>54</v>
      </c>
      <c r="AO662" t="s">
        <v>155</v>
      </c>
      <c r="AP662" t="s">
        <v>7864</v>
      </c>
      <c r="AQ662" t="s">
        <v>80</v>
      </c>
      <c r="AR662" t="s">
        <v>77</v>
      </c>
      <c r="AS662" t="s">
        <v>328</v>
      </c>
      <c r="AT662" t="s">
        <v>7866</v>
      </c>
      <c r="AU662" t="s">
        <v>83</v>
      </c>
      <c r="AV662" t="s">
        <v>7867</v>
      </c>
      <c r="AW662" t="str">
        <f>"3400740"</f>
        <v>3400740</v>
      </c>
    </row>
    <row r="663" spans="1:49">
      <c r="A663" t="str">
        <f>"80"</f>
        <v>80</v>
      </c>
      <c r="B663" t="s">
        <v>7635</v>
      </c>
      <c r="C663" t="str">
        <f>"7600"</f>
        <v>7600</v>
      </c>
      <c r="D663" t="s">
        <v>7868</v>
      </c>
      <c r="E663" t="str">
        <f>"960"</f>
        <v>960</v>
      </c>
      <c r="F663" t="s">
        <v>70</v>
      </c>
      <c r="G663" t="s">
        <v>1250</v>
      </c>
      <c r="H663" t="s">
        <v>7869</v>
      </c>
      <c r="I663" t="s">
        <v>57</v>
      </c>
      <c r="J663" s="2" t="s">
        <v>7870</v>
      </c>
      <c r="K663" t="s">
        <v>7871</v>
      </c>
      <c r="L663" t="s">
        <v>7872</v>
      </c>
      <c r="M663" t="s">
        <v>7664</v>
      </c>
      <c r="N663" t="s">
        <v>62</v>
      </c>
      <c r="O663" t="str">
        <f>"07063"</f>
        <v>07063</v>
      </c>
      <c r="P663" t="s">
        <v>7871</v>
      </c>
      <c r="Q663" t="s">
        <v>7873</v>
      </c>
      <c r="S663" t="s">
        <v>7664</v>
      </c>
      <c r="T663" t="s">
        <v>62</v>
      </c>
      <c r="U663" t="str">
        <f>"07063"</f>
        <v>07063</v>
      </c>
      <c r="W663" t="s">
        <v>7874</v>
      </c>
      <c r="X663" t="s">
        <v>77</v>
      </c>
      <c r="Y663" t="s">
        <v>287</v>
      </c>
      <c r="Z663" t="s">
        <v>4656</v>
      </c>
      <c r="AA663" t="s">
        <v>135</v>
      </c>
      <c r="AB663" t="s">
        <v>70</v>
      </c>
      <c r="AC663" t="s">
        <v>7875</v>
      </c>
      <c r="AD663" t="s">
        <v>7876</v>
      </c>
      <c r="AE663" t="s">
        <v>181</v>
      </c>
      <c r="AF663" t="s">
        <v>77</v>
      </c>
      <c r="AG663" t="s">
        <v>5149</v>
      </c>
      <c r="AH663" t="s">
        <v>7877</v>
      </c>
      <c r="AI663" t="s">
        <v>73</v>
      </c>
      <c r="AJ663" t="s">
        <v>70</v>
      </c>
      <c r="AK663" t="s">
        <v>251</v>
      </c>
      <c r="AL663" t="s">
        <v>7878</v>
      </c>
      <c r="AM663" t="s">
        <v>76</v>
      </c>
      <c r="AR663" t="s">
        <v>77</v>
      </c>
      <c r="AS663" t="s">
        <v>1678</v>
      </c>
      <c r="AT663" t="s">
        <v>7879</v>
      </c>
      <c r="AU663" t="s">
        <v>83</v>
      </c>
      <c r="AV663" t="s">
        <v>7880</v>
      </c>
      <c r="AW663" t="str">
        <f>"3400061"</f>
        <v>3400061</v>
      </c>
    </row>
    <row r="664" spans="1:49">
      <c r="A664" t="str">
        <f>"39"</f>
        <v>39</v>
      </c>
      <c r="B664" t="s">
        <v>7635</v>
      </c>
      <c r="C664" t="str">
        <f>"5290"</f>
        <v>5290</v>
      </c>
      <c r="D664" t="s">
        <v>7881</v>
      </c>
      <c r="F664" t="s">
        <v>77</v>
      </c>
      <c r="G664" t="s">
        <v>6222</v>
      </c>
      <c r="H664" t="s">
        <v>7882</v>
      </c>
      <c r="I664" t="s">
        <v>408</v>
      </c>
      <c r="J664" s="2" t="s">
        <v>7883</v>
      </c>
      <c r="K664" t="s">
        <v>7884</v>
      </c>
      <c r="L664" t="s">
        <v>60</v>
      </c>
      <c r="M664" t="s">
        <v>7885</v>
      </c>
      <c r="N664" t="s">
        <v>62</v>
      </c>
      <c r="O664" t="str">
        <f>"07083"</f>
        <v>07083</v>
      </c>
      <c r="P664" t="s">
        <v>7884</v>
      </c>
      <c r="S664" t="s">
        <v>7885</v>
      </c>
      <c r="T664" t="s">
        <v>62</v>
      </c>
      <c r="U664" t="str">
        <f>"07083"</f>
        <v>07083</v>
      </c>
      <c r="W664" t="s">
        <v>7886</v>
      </c>
      <c r="X664" t="s">
        <v>54</v>
      </c>
      <c r="Y664" t="s">
        <v>2321</v>
      </c>
      <c r="Z664" t="s">
        <v>7887</v>
      </c>
      <c r="AA664" t="s">
        <v>135</v>
      </c>
      <c r="AB664" t="s">
        <v>54</v>
      </c>
      <c r="AC664" t="s">
        <v>397</v>
      </c>
      <c r="AD664" t="s">
        <v>7888</v>
      </c>
      <c r="AE664" t="s">
        <v>98</v>
      </c>
      <c r="AF664" t="s">
        <v>70</v>
      </c>
      <c r="AG664" t="s">
        <v>371</v>
      </c>
      <c r="AH664" t="s">
        <v>7889</v>
      </c>
      <c r="AI664" t="s">
        <v>73</v>
      </c>
      <c r="AJ664" t="s">
        <v>70</v>
      </c>
      <c r="AK664" t="s">
        <v>2949</v>
      </c>
      <c r="AL664" t="s">
        <v>4149</v>
      </c>
      <c r="AM664" t="s">
        <v>3429</v>
      </c>
      <c r="AN664" t="s">
        <v>70</v>
      </c>
      <c r="AO664" t="s">
        <v>2472</v>
      </c>
      <c r="AP664" t="s">
        <v>555</v>
      </c>
      <c r="AQ664" t="s">
        <v>80</v>
      </c>
      <c r="AR664" t="s">
        <v>77</v>
      </c>
      <c r="AS664" t="s">
        <v>6222</v>
      </c>
      <c r="AT664" t="s">
        <v>7882</v>
      </c>
      <c r="AU664" t="s">
        <v>83</v>
      </c>
      <c r="AV664" t="s">
        <v>7890</v>
      </c>
      <c r="AW664" t="str">
        <f>"3416500"</f>
        <v>3416500</v>
      </c>
    </row>
    <row r="665" spans="1:49">
      <c r="A665" t="str">
        <f>"39"</f>
        <v>39</v>
      </c>
      <c r="B665" t="s">
        <v>7635</v>
      </c>
      <c r="C665" t="str">
        <f>"5245"</f>
        <v>5245</v>
      </c>
      <c r="D665" t="s">
        <v>7891</v>
      </c>
      <c r="F665" t="s">
        <v>77</v>
      </c>
      <c r="G665" t="s">
        <v>120</v>
      </c>
      <c r="H665" t="s">
        <v>7892</v>
      </c>
      <c r="I665" t="s">
        <v>89</v>
      </c>
      <c r="J665" s="2" t="s">
        <v>7893</v>
      </c>
      <c r="K665" t="s">
        <v>7894</v>
      </c>
      <c r="L665" t="s">
        <v>60</v>
      </c>
      <c r="M665" t="s">
        <v>7895</v>
      </c>
      <c r="N665" t="s">
        <v>62</v>
      </c>
      <c r="O665" t="str">
        <f>"07090"</f>
        <v>07090</v>
      </c>
      <c r="P665" t="s">
        <v>7894</v>
      </c>
      <c r="S665" t="s">
        <v>7895</v>
      </c>
      <c r="T665" t="s">
        <v>62</v>
      </c>
      <c r="U665" t="str">
        <f>"07090"</f>
        <v>07090</v>
      </c>
      <c r="W665" t="s">
        <v>7896</v>
      </c>
      <c r="X665" t="s">
        <v>77</v>
      </c>
      <c r="Y665" t="s">
        <v>1418</v>
      </c>
      <c r="Z665" t="s">
        <v>3128</v>
      </c>
      <c r="AA665" t="s">
        <v>112</v>
      </c>
      <c r="AB665" t="s">
        <v>77</v>
      </c>
      <c r="AC665" t="s">
        <v>120</v>
      </c>
      <c r="AD665" t="s">
        <v>7892</v>
      </c>
      <c r="AE665" t="s">
        <v>181</v>
      </c>
      <c r="AF665" t="s">
        <v>77</v>
      </c>
      <c r="AG665" t="s">
        <v>328</v>
      </c>
      <c r="AH665" t="s">
        <v>7897</v>
      </c>
      <c r="AI665" t="s">
        <v>73</v>
      </c>
      <c r="AJ665" t="s">
        <v>77</v>
      </c>
      <c r="AK665" t="s">
        <v>555</v>
      </c>
      <c r="AL665" t="s">
        <v>5465</v>
      </c>
      <c r="AM665" t="s">
        <v>76</v>
      </c>
      <c r="AN665" t="s">
        <v>77</v>
      </c>
      <c r="AO665" t="s">
        <v>208</v>
      </c>
      <c r="AP665" t="s">
        <v>7898</v>
      </c>
      <c r="AQ665" t="s">
        <v>80</v>
      </c>
      <c r="AR665" t="s">
        <v>77</v>
      </c>
      <c r="AS665" t="s">
        <v>328</v>
      </c>
      <c r="AT665" t="s">
        <v>7897</v>
      </c>
      <c r="AU665" t="s">
        <v>83</v>
      </c>
      <c r="AV665" t="s">
        <v>7899</v>
      </c>
      <c r="AW665" t="str">
        <f>"3416400"</f>
        <v>3416400</v>
      </c>
    </row>
    <row r="666" spans="1:49">
      <c r="A666" t="str">
        <f>"80"</f>
        <v>80</v>
      </c>
      <c r="B666" t="s">
        <v>7635</v>
      </c>
      <c r="C666" t="str">
        <f>"8010"</f>
        <v>8010</v>
      </c>
      <c r="D666" t="s">
        <v>7900</v>
      </c>
      <c r="E666" t="str">
        <f>"980"</f>
        <v>980</v>
      </c>
      <c r="F666" t="s">
        <v>54</v>
      </c>
      <c r="G666" t="s">
        <v>1660</v>
      </c>
      <c r="H666" t="s">
        <v>7901</v>
      </c>
      <c r="I666" t="s">
        <v>128</v>
      </c>
      <c r="J666" s="2" t="s">
        <v>7902</v>
      </c>
      <c r="K666" t="s">
        <v>7903</v>
      </c>
      <c r="L666" t="s">
        <v>60</v>
      </c>
      <c r="M666" t="s">
        <v>7664</v>
      </c>
      <c r="N666" t="s">
        <v>62</v>
      </c>
      <c r="O666" t="str">
        <f>"07060"</f>
        <v>07060</v>
      </c>
      <c r="P666" t="s">
        <v>7903</v>
      </c>
      <c r="S666" t="s">
        <v>7664</v>
      </c>
      <c r="T666" t="s">
        <v>62</v>
      </c>
      <c r="U666" t="str">
        <f>"07060"</f>
        <v>07060</v>
      </c>
      <c r="W666" t="s">
        <v>7904</v>
      </c>
      <c r="X666" t="s">
        <v>65</v>
      </c>
      <c r="Y666" t="s">
        <v>7905</v>
      </c>
      <c r="Z666" t="s">
        <v>1676</v>
      </c>
      <c r="AA666" t="s">
        <v>112</v>
      </c>
      <c r="AB666" t="s">
        <v>70</v>
      </c>
      <c r="AC666" t="s">
        <v>7906</v>
      </c>
      <c r="AD666" t="s">
        <v>7907</v>
      </c>
      <c r="AE666" t="s">
        <v>98</v>
      </c>
      <c r="AF666" t="s">
        <v>70</v>
      </c>
      <c r="AG666" t="s">
        <v>7906</v>
      </c>
      <c r="AH666" t="s">
        <v>7907</v>
      </c>
      <c r="AI666" t="s">
        <v>73</v>
      </c>
      <c r="AJ666" t="s">
        <v>77</v>
      </c>
      <c r="AK666" t="s">
        <v>120</v>
      </c>
      <c r="AL666" t="s">
        <v>7908</v>
      </c>
      <c r="AM666" t="s">
        <v>76</v>
      </c>
      <c r="AN666" t="s">
        <v>77</v>
      </c>
      <c r="AO666" t="s">
        <v>7909</v>
      </c>
      <c r="AP666" t="s">
        <v>1676</v>
      </c>
      <c r="AQ666" t="s">
        <v>80</v>
      </c>
      <c r="AR666" t="s">
        <v>77</v>
      </c>
      <c r="AS666" t="s">
        <v>120</v>
      </c>
      <c r="AT666" t="s">
        <v>7908</v>
      </c>
      <c r="AU666" t="s">
        <v>83</v>
      </c>
      <c r="AV666" t="s">
        <v>7910</v>
      </c>
      <c r="AW666" t="str">
        <f>"3400083"</f>
        <v>3400083</v>
      </c>
    </row>
    <row r="667" spans="1:49">
      <c r="A667" t="str">
        <f>"39"</f>
        <v>39</v>
      </c>
      <c r="B667" t="s">
        <v>7635</v>
      </c>
      <c r="C667" t="str">
        <f>"5260"</f>
        <v>5260</v>
      </c>
      <c r="D667" t="s">
        <v>7911</v>
      </c>
      <c r="F667" t="s">
        <v>54</v>
      </c>
      <c r="G667" t="s">
        <v>7912</v>
      </c>
      <c r="H667" t="s">
        <v>357</v>
      </c>
      <c r="I667" t="s">
        <v>89</v>
      </c>
      <c r="J667" s="2" t="s">
        <v>7913</v>
      </c>
      <c r="K667" t="s">
        <v>7914</v>
      </c>
      <c r="L667" t="s">
        <v>60</v>
      </c>
      <c r="M667" t="s">
        <v>7832</v>
      </c>
      <c r="N667" t="s">
        <v>62</v>
      </c>
      <c r="O667" t="s">
        <v>7915</v>
      </c>
      <c r="P667" t="s">
        <v>7914</v>
      </c>
      <c r="S667" t="s">
        <v>7832</v>
      </c>
      <c r="T667" t="s">
        <v>62</v>
      </c>
      <c r="U667" t="str">
        <f>"07076"</f>
        <v>07076</v>
      </c>
      <c r="V667" t="str">
        <f>"2997"</f>
        <v>2997</v>
      </c>
      <c r="W667" t="s">
        <v>7916</v>
      </c>
      <c r="X667" t="s">
        <v>54</v>
      </c>
      <c r="Y667" t="s">
        <v>651</v>
      </c>
      <c r="Z667" t="s">
        <v>7917</v>
      </c>
      <c r="AA667" t="s">
        <v>135</v>
      </c>
      <c r="AB667" t="s">
        <v>77</v>
      </c>
      <c r="AC667" t="s">
        <v>373</v>
      </c>
      <c r="AD667" t="s">
        <v>3687</v>
      </c>
      <c r="AE667" t="s">
        <v>181</v>
      </c>
      <c r="AF667" t="s">
        <v>54</v>
      </c>
      <c r="AG667" t="s">
        <v>150</v>
      </c>
      <c r="AH667" t="s">
        <v>7918</v>
      </c>
      <c r="AI667" t="s">
        <v>73</v>
      </c>
      <c r="AJ667" t="s">
        <v>54</v>
      </c>
      <c r="AK667" t="s">
        <v>7919</v>
      </c>
      <c r="AL667" t="s">
        <v>7920</v>
      </c>
      <c r="AM667" t="s">
        <v>76</v>
      </c>
      <c r="AN667" t="s">
        <v>77</v>
      </c>
      <c r="AO667" t="s">
        <v>328</v>
      </c>
      <c r="AP667" t="s">
        <v>7921</v>
      </c>
      <c r="AQ667" t="s">
        <v>80</v>
      </c>
      <c r="AR667" t="s">
        <v>54</v>
      </c>
      <c r="AS667" t="s">
        <v>150</v>
      </c>
      <c r="AT667" t="s">
        <v>7918</v>
      </c>
      <c r="AU667" t="s">
        <v>83</v>
      </c>
      <c r="AV667" t="s">
        <v>7922</v>
      </c>
      <c r="AW667" t="str">
        <f>"3418040"</f>
        <v>3418040</v>
      </c>
    </row>
    <row r="668" spans="1:49">
      <c r="A668" t="str">
        <f>"39"</f>
        <v>39</v>
      </c>
      <c r="B668" t="s">
        <v>7635</v>
      </c>
      <c r="C668" t="str">
        <f>"5730"</f>
        <v>5730</v>
      </c>
      <c r="D668" t="s">
        <v>7923</v>
      </c>
      <c r="F668" t="s">
        <v>65</v>
      </c>
      <c r="G668" t="s">
        <v>1298</v>
      </c>
      <c r="H668" t="s">
        <v>7924</v>
      </c>
      <c r="I668" t="s">
        <v>89</v>
      </c>
      <c r="J668" s="2" t="s">
        <v>7925</v>
      </c>
      <c r="K668" t="s">
        <v>7926</v>
      </c>
      <c r="L668" t="s">
        <v>60</v>
      </c>
      <c r="M668" t="s">
        <v>7895</v>
      </c>
      <c r="N668" t="s">
        <v>62</v>
      </c>
      <c r="O668" t="str">
        <f>"07090"</f>
        <v>07090</v>
      </c>
      <c r="P668" t="s">
        <v>7926</v>
      </c>
      <c r="S668" t="s">
        <v>7895</v>
      </c>
      <c r="T668" t="s">
        <v>62</v>
      </c>
      <c r="U668" t="str">
        <f>"07090"</f>
        <v>07090</v>
      </c>
      <c r="W668" t="s">
        <v>7927</v>
      </c>
      <c r="X668" t="s">
        <v>54</v>
      </c>
      <c r="Y668" t="s">
        <v>682</v>
      </c>
      <c r="Z668" t="s">
        <v>1261</v>
      </c>
      <c r="AA668" t="s">
        <v>135</v>
      </c>
      <c r="AB668" t="s">
        <v>65</v>
      </c>
      <c r="AC668" t="s">
        <v>120</v>
      </c>
      <c r="AD668" t="s">
        <v>7928</v>
      </c>
      <c r="AE668" t="s">
        <v>154</v>
      </c>
      <c r="AF668" t="s">
        <v>77</v>
      </c>
      <c r="AG668" t="s">
        <v>358</v>
      </c>
      <c r="AH668" t="s">
        <v>7929</v>
      </c>
      <c r="AI668" t="s">
        <v>73</v>
      </c>
      <c r="AJ668" t="s">
        <v>77</v>
      </c>
      <c r="AK668" t="s">
        <v>555</v>
      </c>
      <c r="AL668" t="s">
        <v>1799</v>
      </c>
      <c r="AM668" t="s">
        <v>154</v>
      </c>
      <c r="AN668" t="s">
        <v>77</v>
      </c>
      <c r="AO668" t="s">
        <v>212</v>
      </c>
      <c r="AP668" t="s">
        <v>7930</v>
      </c>
      <c r="AQ668" t="s">
        <v>80</v>
      </c>
      <c r="AR668" t="s">
        <v>54</v>
      </c>
      <c r="AS668" t="s">
        <v>682</v>
      </c>
      <c r="AT668" t="s">
        <v>1261</v>
      </c>
      <c r="AU668" t="s">
        <v>83</v>
      </c>
      <c r="AV668" t="s">
        <v>7931</v>
      </c>
      <c r="AW668" t="str">
        <f>"3417760"</f>
        <v>3417760</v>
      </c>
    </row>
    <row r="669" spans="1:49">
      <c r="A669" t="str">
        <f>"39"</f>
        <v>39</v>
      </c>
      <c r="B669" t="s">
        <v>7635</v>
      </c>
      <c r="C669" t="str">
        <f>"5810"</f>
        <v>5810</v>
      </c>
      <c r="D669" t="s">
        <v>7932</v>
      </c>
      <c r="F669" t="s">
        <v>77</v>
      </c>
      <c r="G669" t="s">
        <v>974</v>
      </c>
      <c r="H669" t="s">
        <v>7933</v>
      </c>
      <c r="I669" t="s">
        <v>57</v>
      </c>
      <c r="J669" s="2" t="s">
        <v>7934</v>
      </c>
      <c r="K669" t="s">
        <v>7935</v>
      </c>
      <c r="L669" t="s">
        <v>60</v>
      </c>
      <c r="M669" t="s">
        <v>7936</v>
      </c>
      <c r="N669" t="s">
        <v>62</v>
      </c>
      <c r="O669" t="str">
        <f>"07036"</f>
        <v>07036</v>
      </c>
      <c r="P669" t="s">
        <v>7935</v>
      </c>
      <c r="S669" t="s">
        <v>7936</v>
      </c>
      <c r="T669" t="s">
        <v>62</v>
      </c>
      <c r="U669" t="str">
        <f>"07036"</f>
        <v>07036</v>
      </c>
      <c r="W669" t="s">
        <v>7937</v>
      </c>
      <c r="X669" t="s">
        <v>70</v>
      </c>
      <c r="Y669" t="s">
        <v>1250</v>
      </c>
      <c r="Z669" t="s">
        <v>7938</v>
      </c>
      <c r="AA669" t="s">
        <v>135</v>
      </c>
      <c r="AB669" t="s">
        <v>77</v>
      </c>
      <c r="AC669" t="s">
        <v>974</v>
      </c>
      <c r="AD669" t="s">
        <v>7933</v>
      </c>
      <c r="AE669" t="s">
        <v>98</v>
      </c>
      <c r="AF669" t="s">
        <v>70</v>
      </c>
      <c r="AG669" t="s">
        <v>2015</v>
      </c>
      <c r="AH669" t="s">
        <v>7939</v>
      </c>
      <c r="AI669" t="s">
        <v>73</v>
      </c>
      <c r="AJ669" t="s">
        <v>70</v>
      </c>
      <c r="AK669" t="s">
        <v>1541</v>
      </c>
      <c r="AL669" t="s">
        <v>7940</v>
      </c>
      <c r="AM669" t="s">
        <v>76</v>
      </c>
      <c r="AN669" t="s">
        <v>77</v>
      </c>
      <c r="AO669" t="s">
        <v>974</v>
      </c>
      <c r="AP669" t="s">
        <v>7933</v>
      </c>
      <c r="AQ669" t="s">
        <v>80</v>
      </c>
      <c r="AR669" t="s">
        <v>77</v>
      </c>
      <c r="AS669" t="s">
        <v>974</v>
      </c>
      <c r="AT669" t="s">
        <v>7933</v>
      </c>
      <c r="AU669" t="s">
        <v>83</v>
      </c>
      <c r="AV669" t="s">
        <v>7941</v>
      </c>
      <c r="AW669" t="str">
        <f>"3418030"</f>
        <v>3418030</v>
      </c>
    </row>
    <row r="670" spans="1:49">
      <c r="A670" t="str">
        <f t="shared" ref="A670:A687" si="29">"41"</f>
        <v>41</v>
      </c>
      <c r="B670" t="s">
        <v>7942</v>
      </c>
      <c r="C670" t="str">
        <f>"0030"</f>
        <v>0030</v>
      </c>
      <c r="D670" t="s">
        <v>7943</v>
      </c>
      <c r="F670" t="s">
        <v>54</v>
      </c>
      <c r="G670" t="s">
        <v>716</v>
      </c>
      <c r="H670" t="s">
        <v>7944</v>
      </c>
      <c r="I670" t="s">
        <v>1518</v>
      </c>
      <c r="J670" s="3" t="s">
        <v>8189</v>
      </c>
      <c r="K670" t="s">
        <v>7945</v>
      </c>
      <c r="L670" t="s">
        <v>60</v>
      </c>
      <c r="M670" t="s">
        <v>7946</v>
      </c>
      <c r="N670" t="s">
        <v>62</v>
      </c>
      <c r="O670" t="str">
        <f>"07820"</f>
        <v>07820</v>
      </c>
      <c r="P670" t="s">
        <v>7947</v>
      </c>
      <c r="S670" t="s">
        <v>7946</v>
      </c>
      <c r="T670" t="s">
        <v>62</v>
      </c>
      <c r="U670" t="str">
        <f>"07820"</f>
        <v>07820</v>
      </c>
      <c r="W670" t="s">
        <v>7948</v>
      </c>
      <c r="X670" t="s">
        <v>77</v>
      </c>
      <c r="Y670" t="s">
        <v>182</v>
      </c>
      <c r="Z670" t="s">
        <v>7949</v>
      </c>
      <c r="AA670" t="s">
        <v>112</v>
      </c>
      <c r="AB670" t="s">
        <v>54</v>
      </c>
      <c r="AC670" t="s">
        <v>716</v>
      </c>
      <c r="AD670" t="s">
        <v>7944</v>
      </c>
      <c r="AE670" t="s">
        <v>69</v>
      </c>
      <c r="AF670" t="s">
        <v>70</v>
      </c>
      <c r="AG670" t="s">
        <v>155</v>
      </c>
      <c r="AH670" t="s">
        <v>7950</v>
      </c>
      <c r="AI670" t="s">
        <v>73</v>
      </c>
      <c r="AJ670" t="s">
        <v>54</v>
      </c>
      <c r="AK670" t="s">
        <v>716</v>
      </c>
      <c r="AL670" t="s">
        <v>7944</v>
      </c>
      <c r="AM670" t="s">
        <v>76</v>
      </c>
      <c r="AN670" t="s">
        <v>54</v>
      </c>
      <c r="AO670" t="s">
        <v>716</v>
      </c>
      <c r="AP670" t="s">
        <v>7944</v>
      </c>
      <c r="AQ670" t="s">
        <v>80</v>
      </c>
      <c r="AR670" t="s">
        <v>54</v>
      </c>
      <c r="AS670" t="s">
        <v>155</v>
      </c>
      <c r="AT670" t="s">
        <v>7950</v>
      </c>
      <c r="AU670" t="s">
        <v>83</v>
      </c>
      <c r="AV670" t="s">
        <v>7951</v>
      </c>
      <c r="AW670" t="str">
        <f>"3400720"</f>
        <v>3400720</v>
      </c>
    </row>
    <row r="671" spans="1:49">
      <c r="A671" t="str">
        <f t="shared" si="29"/>
        <v>41</v>
      </c>
      <c r="B671" t="s">
        <v>7942</v>
      </c>
      <c r="C671" t="str">
        <f>"0070"</f>
        <v>0070</v>
      </c>
      <c r="D671" t="s">
        <v>7952</v>
      </c>
      <c r="F671" t="s">
        <v>77</v>
      </c>
      <c r="G671" t="s">
        <v>4377</v>
      </c>
      <c r="H671" t="s">
        <v>417</v>
      </c>
      <c r="I671" t="s">
        <v>57</v>
      </c>
      <c r="J671" s="2" t="s">
        <v>7953</v>
      </c>
      <c r="K671" t="s">
        <v>7954</v>
      </c>
      <c r="L671" t="s">
        <v>60</v>
      </c>
      <c r="M671" t="s">
        <v>7955</v>
      </c>
      <c r="N671" t="s">
        <v>62</v>
      </c>
      <c r="O671" t="str">
        <f>"08865"</f>
        <v>08865</v>
      </c>
      <c r="P671" t="s">
        <v>7956</v>
      </c>
      <c r="S671" t="s">
        <v>7955</v>
      </c>
      <c r="T671" t="s">
        <v>62</v>
      </c>
      <c r="U671" t="str">
        <f>"08865"</f>
        <v>08865</v>
      </c>
      <c r="W671" t="s">
        <v>7957</v>
      </c>
      <c r="X671" t="s">
        <v>77</v>
      </c>
      <c r="Y671" t="s">
        <v>509</v>
      </c>
      <c r="Z671" t="s">
        <v>4347</v>
      </c>
      <c r="AA671" t="s">
        <v>112</v>
      </c>
      <c r="AB671" t="s">
        <v>77</v>
      </c>
      <c r="AC671" t="s">
        <v>4377</v>
      </c>
      <c r="AD671" t="s">
        <v>417</v>
      </c>
      <c r="AE671" t="s">
        <v>4096</v>
      </c>
      <c r="AF671" t="s">
        <v>77</v>
      </c>
      <c r="AG671" t="s">
        <v>4377</v>
      </c>
      <c r="AH671" t="s">
        <v>417</v>
      </c>
      <c r="AI671" t="s">
        <v>73</v>
      </c>
      <c r="AJ671" t="s">
        <v>77</v>
      </c>
      <c r="AK671" t="s">
        <v>4377</v>
      </c>
      <c r="AL671" t="s">
        <v>417</v>
      </c>
      <c r="AM671" t="s">
        <v>3429</v>
      </c>
      <c r="AN671" t="s">
        <v>77</v>
      </c>
      <c r="AO671" t="s">
        <v>4377</v>
      </c>
      <c r="AP671" t="s">
        <v>417</v>
      </c>
      <c r="AQ671" t="s">
        <v>80</v>
      </c>
      <c r="AR671" t="s">
        <v>77</v>
      </c>
      <c r="AS671" t="s">
        <v>4377</v>
      </c>
      <c r="AT671" t="s">
        <v>417</v>
      </c>
      <c r="AU671" t="s">
        <v>83</v>
      </c>
      <c r="AV671" t="s">
        <v>7958</v>
      </c>
      <c r="AW671" t="str">
        <f>"3400840"</f>
        <v>3400840</v>
      </c>
    </row>
    <row r="672" spans="1:49">
      <c r="A672" t="str">
        <f t="shared" si="29"/>
        <v>41</v>
      </c>
      <c r="B672" t="s">
        <v>7942</v>
      </c>
      <c r="C672" t="str">
        <f>"0280"</f>
        <v>0280</v>
      </c>
      <c r="D672" t="s">
        <v>7959</v>
      </c>
      <c r="F672" t="s">
        <v>77</v>
      </c>
      <c r="G672" t="s">
        <v>5214</v>
      </c>
      <c r="H672" t="s">
        <v>7960</v>
      </c>
      <c r="I672" t="s">
        <v>89</v>
      </c>
      <c r="J672" s="2" t="s">
        <v>7961</v>
      </c>
      <c r="K672" t="s">
        <v>7962</v>
      </c>
      <c r="L672" t="s">
        <v>60</v>
      </c>
      <c r="M672" t="s">
        <v>7963</v>
      </c>
      <c r="N672" t="s">
        <v>62</v>
      </c>
      <c r="O672" t="str">
        <f>"07823"</f>
        <v>07823</v>
      </c>
      <c r="P672" t="s">
        <v>7962</v>
      </c>
      <c r="S672" t="s">
        <v>7963</v>
      </c>
      <c r="T672" t="s">
        <v>62</v>
      </c>
      <c r="U672" t="str">
        <f>"07823"</f>
        <v>07823</v>
      </c>
      <c r="W672" t="s">
        <v>7964</v>
      </c>
      <c r="X672" t="s">
        <v>54</v>
      </c>
      <c r="Y672" t="s">
        <v>7965</v>
      </c>
      <c r="Z672" t="s">
        <v>7966</v>
      </c>
      <c r="AA672" t="s">
        <v>135</v>
      </c>
      <c r="AB672" t="s">
        <v>70</v>
      </c>
      <c r="AC672" t="s">
        <v>7967</v>
      </c>
      <c r="AD672" t="s">
        <v>7968</v>
      </c>
      <c r="AE672" t="s">
        <v>181</v>
      </c>
      <c r="AF672" t="s">
        <v>54</v>
      </c>
      <c r="AG672" t="s">
        <v>928</v>
      </c>
      <c r="AH672" t="s">
        <v>7644</v>
      </c>
      <c r="AI672" t="s">
        <v>73</v>
      </c>
      <c r="AJ672" t="s">
        <v>77</v>
      </c>
      <c r="AK672" t="s">
        <v>928</v>
      </c>
      <c r="AL672" t="s">
        <v>7644</v>
      </c>
      <c r="AM672" t="s">
        <v>76</v>
      </c>
      <c r="AN672" t="s">
        <v>77</v>
      </c>
      <c r="AO672" t="s">
        <v>1144</v>
      </c>
      <c r="AP672" t="s">
        <v>222</v>
      </c>
      <c r="AQ672" t="s">
        <v>80</v>
      </c>
      <c r="AR672" t="s">
        <v>54</v>
      </c>
      <c r="AS672" t="s">
        <v>928</v>
      </c>
      <c r="AT672" t="s">
        <v>7644</v>
      </c>
      <c r="AU672" t="s">
        <v>83</v>
      </c>
      <c r="AV672" t="s">
        <v>7969</v>
      </c>
      <c r="AW672" t="str">
        <f>"3401440"</f>
        <v>3401440</v>
      </c>
    </row>
    <row r="673" spans="1:49">
      <c r="A673" t="str">
        <f t="shared" si="29"/>
        <v>41</v>
      </c>
      <c r="B673" t="s">
        <v>7942</v>
      </c>
      <c r="C673" t="str">
        <f>"0400"</f>
        <v>0400</v>
      </c>
      <c r="D673" t="s">
        <v>7970</v>
      </c>
      <c r="F673" t="s">
        <v>65</v>
      </c>
      <c r="G673" t="s">
        <v>293</v>
      </c>
      <c r="H673" t="s">
        <v>7971</v>
      </c>
      <c r="I673" t="s">
        <v>89</v>
      </c>
      <c r="J673" s="2" t="s">
        <v>7972</v>
      </c>
      <c r="K673" t="s">
        <v>7973</v>
      </c>
      <c r="L673" t="s">
        <v>7974</v>
      </c>
      <c r="M673" t="s">
        <v>7975</v>
      </c>
      <c r="N673" t="s">
        <v>62</v>
      </c>
      <c r="O673" t="str">
        <f>"07825"</f>
        <v>07825</v>
      </c>
      <c r="P673" t="s">
        <v>7973</v>
      </c>
      <c r="Q673" t="s">
        <v>7976</v>
      </c>
      <c r="S673" t="s">
        <v>7975</v>
      </c>
      <c r="T673" t="s">
        <v>62</v>
      </c>
      <c r="U673" t="str">
        <f>"07825"</f>
        <v>07825</v>
      </c>
      <c r="W673" t="s">
        <v>7977</v>
      </c>
      <c r="X673" t="s">
        <v>77</v>
      </c>
      <c r="Y673" t="s">
        <v>281</v>
      </c>
      <c r="Z673" t="s">
        <v>7978</v>
      </c>
      <c r="AA673" t="s">
        <v>68</v>
      </c>
      <c r="AB673" t="s">
        <v>54</v>
      </c>
      <c r="AC673" t="s">
        <v>771</v>
      </c>
      <c r="AD673" t="s">
        <v>7979</v>
      </c>
      <c r="AE673" t="s">
        <v>69</v>
      </c>
      <c r="AF673" t="s">
        <v>54</v>
      </c>
      <c r="AG673" t="s">
        <v>7763</v>
      </c>
      <c r="AH673" t="s">
        <v>7980</v>
      </c>
      <c r="AI673" t="s">
        <v>73</v>
      </c>
      <c r="AJ673" t="s">
        <v>65</v>
      </c>
      <c r="AK673" t="s">
        <v>293</v>
      </c>
      <c r="AL673" t="s">
        <v>7971</v>
      </c>
      <c r="AM673" t="s">
        <v>76</v>
      </c>
      <c r="AN673" t="s">
        <v>65</v>
      </c>
      <c r="AO673" t="s">
        <v>293</v>
      </c>
      <c r="AP673" t="s">
        <v>7971</v>
      </c>
      <c r="AQ673" t="s">
        <v>80</v>
      </c>
      <c r="AR673" t="s">
        <v>65</v>
      </c>
      <c r="AS673" t="s">
        <v>293</v>
      </c>
      <c r="AT673" t="s">
        <v>7971</v>
      </c>
      <c r="AU673" t="s">
        <v>83</v>
      </c>
      <c r="AV673" t="s">
        <v>7981</v>
      </c>
      <c r="AW673" t="str">
        <f>"3401800"</f>
        <v>3401800</v>
      </c>
    </row>
    <row r="674" spans="1:49">
      <c r="A674" t="str">
        <f t="shared" si="29"/>
        <v>41</v>
      </c>
      <c r="B674" t="s">
        <v>7942</v>
      </c>
      <c r="C674" t="str">
        <f>"1620"</f>
        <v>1620</v>
      </c>
      <c r="D674" t="s">
        <v>4436</v>
      </c>
      <c r="F674" t="s">
        <v>77</v>
      </c>
      <c r="G674" t="s">
        <v>281</v>
      </c>
      <c r="H674" t="s">
        <v>7982</v>
      </c>
      <c r="I674" t="s">
        <v>57</v>
      </c>
      <c r="J674" s="2" t="s">
        <v>7983</v>
      </c>
      <c r="K674" t="s">
        <v>7984</v>
      </c>
      <c r="L674" t="s">
        <v>60</v>
      </c>
      <c r="M674" t="s">
        <v>7188</v>
      </c>
      <c r="N674" t="s">
        <v>62</v>
      </c>
      <c r="O674" t="str">
        <f>"07882"</f>
        <v>07882</v>
      </c>
      <c r="P674" t="s">
        <v>7984</v>
      </c>
      <c r="S674" t="s">
        <v>7188</v>
      </c>
      <c r="T674" t="s">
        <v>62</v>
      </c>
      <c r="U674" t="str">
        <f>"07882"</f>
        <v>07882</v>
      </c>
      <c r="W674" t="s">
        <v>7985</v>
      </c>
      <c r="X674" t="s">
        <v>77</v>
      </c>
      <c r="Y674" t="s">
        <v>509</v>
      </c>
      <c r="Z674" t="s">
        <v>7986</v>
      </c>
      <c r="AA674" t="s">
        <v>135</v>
      </c>
      <c r="AB674" t="s">
        <v>54</v>
      </c>
      <c r="AC674" t="s">
        <v>1209</v>
      </c>
      <c r="AD674" t="s">
        <v>7987</v>
      </c>
      <c r="AE674" t="s">
        <v>587</v>
      </c>
      <c r="AF674" t="s">
        <v>54</v>
      </c>
      <c r="AG674" t="s">
        <v>1209</v>
      </c>
      <c r="AH674" t="s">
        <v>7987</v>
      </c>
      <c r="AI674" t="s">
        <v>73</v>
      </c>
      <c r="AJ674" t="s">
        <v>77</v>
      </c>
      <c r="AK674" t="s">
        <v>281</v>
      </c>
      <c r="AL674" t="s">
        <v>7982</v>
      </c>
      <c r="AM674" t="s">
        <v>76</v>
      </c>
      <c r="AN674" t="s">
        <v>77</v>
      </c>
      <c r="AO674" t="s">
        <v>509</v>
      </c>
      <c r="AP674" t="s">
        <v>7986</v>
      </c>
      <c r="AQ674" t="s">
        <v>80</v>
      </c>
      <c r="AR674" t="s">
        <v>77</v>
      </c>
      <c r="AS674" t="s">
        <v>509</v>
      </c>
      <c r="AT674" t="s">
        <v>7986</v>
      </c>
      <c r="AU674" t="s">
        <v>83</v>
      </c>
      <c r="AV674" t="s">
        <v>7988</v>
      </c>
      <c r="AW674" t="str">
        <f>"3405520"</f>
        <v>3405520</v>
      </c>
    </row>
    <row r="675" spans="1:49">
      <c r="A675" t="str">
        <f t="shared" si="29"/>
        <v>41</v>
      </c>
      <c r="B675" t="s">
        <v>7942</v>
      </c>
      <c r="C675" t="str">
        <f>"1670"</f>
        <v>1670</v>
      </c>
      <c r="D675" t="s">
        <v>7989</v>
      </c>
      <c r="F675" t="s">
        <v>54</v>
      </c>
      <c r="G675" t="s">
        <v>1164</v>
      </c>
      <c r="H675" t="s">
        <v>7990</v>
      </c>
      <c r="I675" t="s">
        <v>89</v>
      </c>
      <c r="J675" s="2" t="s">
        <v>7991</v>
      </c>
      <c r="K675" t="s">
        <v>7992</v>
      </c>
      <c r="L675" t="s">
        <v>60</v>
      </c>
      <c r="M675" t="s">
        <v>4909</v>
      </c>
      <c r="N675" t="s">
        <v>62</v>
      </c>
      <c r="O675" t="str">
        <f>"07860"</f>
        <v>07860</v>
      </c>
      <c r="P675" t="s">
        <v>7992</v>
      </c>
      <c r="S675" t="s">
        <v>4909</v>
      </c>
      <c r="T675" t="s">
        <v>62</v>
      </c>
      <c r="U675" t="str">
        <f>"07860"</f>
        <v>07860</v>
      </c>
      <c r="W675" t="s">
        <v>7993</v>
      </c>
      <c r="X675" t="s">
        <v>54</v>
      </c>
      <c r="Y675" t="s">
        <v>7338</v>
      </c>
      <c r="Z675" t="s">
        <v>7994</v>
      </c>
      <c r="AA675" t="s">
        <v>112</v>
      </c>
      <c r="AB675" t="s">
        <v>70</v>
      </c>
      <c r="AC675" t="s">
        <v>7995</v>
      </c>
      <c r="AD675" t="s">
        <v>7996</v>
      </c>
      <c r="AE675" t="s">
        <v>181</v>
      </c>
      <c r="AF675" t="s">
        <v>70</v>
      </c>
      <c r="AG675" t="s">
        <v>7995</v>
      </c>
      <c r="AH675" t="s">
        <v>7996</v>
      </c>
      <c r="AI675" t="s">
        <v>73</v>
      </c>
      <c r="AJ675" t="s">
        <v>54</v>
      </c>
      <c r="AK675" t="s">
        <v>1164</v>
      </c>
      <c r="AL675" t="s">
        <v>7990</v>
      </c>
      <c r="AM675" t="s">
        <v>76</v>
      </c>
      <c r="AN675" t="s">
        <v>54</v>
      </c>
      <c r="AO675" t="s">
        <v>1164</v>
      </c>
      <c r="AP675" t="s">
        <v>7990</v>
      </c>
      <c r="AQ675" t="s">
        <v>80</v>
      </c>
      <c r="AR675" t="s">
        <v>54</v>
      </c>
      <c r="AS675" t="s">
        <v>1164</v>
      </c>
      <c r="AT675" t="s">
        <v>7990</v>
      </c>
      <c r="AU675" t="s">
        <v>83</v>
      </c>
      <c r="AV675" t="s">
        <v>7997</v>
      </c>
      <c r="AW675" t="str">
        <f>"3405670"</f>
        <v>3405670</v>
      </c>
    </row>
    <row r="676" spans="1:49">
      <c r="A676" t="str">
        <f t="shared" si="29"/>
        <v>41</v>
      </c>
      <c r="B676" t="s">
        <v>7942</v>
      </c>
      <c r="C676" t="str">
        <f>"1785"</f>
        <v>1785</v>
      </c>
      <c r="D676" t="s">
        <v>7998</v>
      </c>
      <c r="F676" t="s">
        <v>77</v>
      </c>
      <c r="G676" t="s">
        <v>120</v>
      </c>
      <c r="H676" t="s">
        <v>7999</v>
      </c>
      <c r="I676" t="s">
        <v>89</v>
      </c>
      <c r="J676" s="2" t="s">
        <v>8000</v>
      </c>
      <c r="K676" t="s">
        <v>8001</v>
      </c>
      <c r="L676" t="s">
        <v>60</v>
      </c>
      <c r="M676" t="s">
        <v>8002</v>
      </c>
      <c r="N676" t="s">
        <v>62</v>
      </c>
      <c r="O676" t="str">
        <f>"07838"</f>
        <v>07838</v>
      </c>
      <c r="P676" t="s">
        <v>8003</v>
      </c>
      <c r="S676" t="s">
        <v>8002</v>
      </c>
      <c r="T676" t="s">
        <v>62</v>
      </c>
      <c r="U676" t="str">
        <f>"07838"</f>
        <v>07838</v>
      </c>
      <c r="W676" t="s">
        <v>8004</v>
      </c>
      <c r="X676" t="s">
        <v>77</v>
      </c>
      <c r="Y676" t="s">
        <v>1418</v>
      </c>
      <c r="Z676" t="s">
        <v>8005</v>
      </c>
      <c r="AA676" t="s">
        <v>135</v>
      </c>
      <c r="AB676" t="s">
        <v>77</v>
      </c>
      <c r="AC676" t="s">
        <v>120</v>
      </c>
      <c r="AD676" t="s">
        <v>7999</v>
      </c>
      <c r="AE676" t="s">
        <v>98</v>
      </c>
      <c r="AF676" t="s">
        <v>54</v>
      </c>
      <c r="AG676" t="s">
        <v>716</v>
      </c>
      <c r="AH676" t="s">
        <v>5591</v>
      </c>
      <c r="AI676" t="s">
        <v>73</v>
      </c>
      <c r="AJ676" t="s">
        <v>77</v>
      </c>
      <c r="AK676" t="s">
        <v>8006</v>
      </c>
      <c r="AL676" t="s">
        <v>8007</v>
      </c>
      <c r="AM676" t="s">
        <v>76</v>
      </c>
      <c r="AN676" t="s">
        <v>77</v>
      </c>
      <c r="AO676" t="s">
        <v>120</v>
      </c>
      <c r="AP676" t="s">
        <v>8008</v>
      </c>
      <c r="AQ676" t="s">
        <v>80</v>
      </c>
      <c r="AR676" t="s">
        <v>54</v>
      </c>
      <c r="AS676" t="s">
        <v>716</v>
      </c>
      <c r="AT676" t="s">
        <v>5591</v>
      </c>
      <c r="AU676" t="s">
        <v>83</v>
      </c>
      <c r="AV676" t="s">
        <v>8009</v>
      </c>
      <c r="AW676" t="str">
        <f>"3400008"</f>
        <v>3400008</v>
      </c>
    </row>
    <row r="677" spans="1:49">
      <c r="A677" t="str">
        <f t="shared" si="29"/>
        <v>41</v>
      </c>
      <c r="B677" t="s">
        <v>7942</v>
      </c>
      <c r="C677" t="str">
        <f>"1840"</f>
        <v>1840</v>
      </c>
      <c r="D677" t="s">
        <v>3034</v>
      </c>
      <c r="F677" t="s">
        <v>70</v>
      </c>
      <c r="G677" t="s">
        <v>536</v>
      </c>
      <c r="H677" t="s">
        <v>8010</v>
      </c>
      <c r="I677" t="s">
        <v>89</v>
      </c>
      <c r="J677" s="2" t="s">
        <v>8011</v>
      </c>
      <c r="K677" t="s">
        <v>8012</v>
      </c>
      <c r="L677" t="s">
        <v>60</v>
      </c>
      <c r="M677" t="s">
        <v>8013</v>
      </c>
      <c r="N677" t="s">
        <v>62</v>
      </c>
      <c r="O677" t="str">
        <f>"08886"</f>
        <v>08886</v>
      </c>
      <c r="P677" t="s">
        <v>8012</v>
      </c>
      <c r="S677" t="s">
        <v>8013</v>
      </c>
      <c r="T677" t="s">
        <v>62</v>
      </c>
      <c r="U677" t="str">
        <f>"08886"</f>
        <v>08886</v>
      </c>
      <c r="W677" t="s">
        <v>8014</v>
      </c>
      <c r="X677" t="s">
        <v>77</v>
      </c>
      <c r="Y677" t="s">
        <v>4346</v>
      </c>
      <c r="Z677" t="s">
        <v>4347</v>
      </c>
      <c r="AA677" t="s">
        <v>68</v>
      </c>
      <c r="AB677" t="s">
        <v>70</v>
      </c>
      <c r="AC677" t="s">
        <v>536</v>
      </c>
      <c r="AD677" t="s">
        <v>8010</v>
      </c>
      <c r="AE677" t="s">
        <v>98</v>
      </c>
      <c r="AF677" t="s">
        <v>70</v>
      </c>
      <c r="AG677" t="s">
        <v>536</v>
      </c>
      <c r="AH677" t="s">
        <v>8010</v>
      </c>
      <c r="AI677" t="s">
        <v>73</v>
      </c>
      <c r="AJ677" t="s">
        <v>54</v>
      </c>
      <c r="AK677" t="s">
        <v>8015</v>
      </c>
      <c r="AL677" t="s">
        <v>8016</v>
      </c>
      <c r="AM677" t="s">
        <v>76</v>
      </c>
      <c r="AN677" t="s">
        <v>54</v>
      </c>
      <c r="AO677" t="s">
        <v>291</v>
      </c>
      <c r="AP677" t="s">
        <v>1667</v>
      </c>
      <c r="AQ677" t="s">
        <v>80</v>
      </c>
      <c r="AR677" t="s">
        <v>70</v>
      </c>
      <c r="AS677" t="s">
        <v>536</v>
      </c>
      <c r="AT677" t="s">
        <v>8010</v>
      </c>
      <c r="AU677" t="s">
        <v>83</v>
      </c>
      <c r="AV677" t="s">
        <v>8017</v>
      </c>
      <c r="AW677" t="str">
        <f>"3406210"</f>
        <v>3406210</v>
      </c>
    </row>
    <row r="678" spans="1:49">
      <c r="A678" t="str">
        <f t="shared" si="29"/>
        <v>41</v>
      </c>
      <c r="B678" t="s">
        <v>7942</v>
      </c>
      <c r="C678" t="str">
        <f>"1870"</f>
        <v>1870</v>
      </c>
      <c r="D678" t="s">
        <v>8018</v>
      </c>
      <c r="G678" t="s">
        <v>190</v>
      </c>
      <c r="H678" t="s">
        <v>8019</v>
      </c>
      <c r="I678" t="s">
        <v>89</v>
      </c>
      <c r="J678" s="2" t="s">
        <v>8020</v>
      </c>
      <c r="K678" t="s">
        <v>8021</v>
      </c>
      <c r="L678" t="s">
        <v>8022</v>
      </c>
      <c r="M678" t="s">
        <v>8023</v>
      </c>
      <c r="N678" t="s">
        <v>62</v>
      </c>
      <c r="O678" t="str">
        <f>"07840"</f>
        <v>07840</v>
      </c>
      <c r="P678" t="s">
        <v>8021</v>
      </c>
      <c r="Q678" t="s">
        <v>8024</v>
      </c>
      <c r="S678" t="s">
        <v>8023</v>
      </c>
      <c r="T678" t="s">
        <v>62</v>
      </c>
      <c r="U678" t="str">
        <f>"07840"</f>
        <v>07840</v>
      </c>
      <c r="W678" t="s">
        <v>8025</v>
      </c>
      <c r="Y678" t="s">
        <v>509</v>
      </c>
      <c r="Z678" t="s">
        <v>8026</v>
      </c>
      <c r="AA678" t="s">
        <v>68</v>
      </c>
      <c r="AC678" t="s">
        <v>367</v>
      </c>
      <c r="AD678" t="s">
        <v>8027</v>
      </c>
      <c r="AE678" t="s">
        <v>98</v>
      </c>
      <c r="AG678" t="s">
        <v>2729</v>
      </c>
      <c r="AH678" t="s">
        <v>8028</v>
      </c>
      <c r="AI678" t="s">
        <v>73</v>
      </c>
      <c r="AK678" t="s">
        <v>1653</v>
      </c>
      <c r="AL678" t="s">
        <v>8029</v>
      </c>
      <c r="AM678" t="s">
        <v>76</v>
      </c>
      <c r="AO678" t="s">
        <v>328</v>
      </c>
      <c r="AP678" t="s">
        <v>8030</v>
      </c>
      <c r="AQ678" t="s">
        <v>80</v>
      </c>
      <c r="AS678" t="s">
        <v>136</v>
      </c>
      <c r="AT678" t="s">
        <v>2789</v>
      </c>
      <c r="AU678" t="s">
        <v>83</v>
      </c>
      <c r="AV678" t="s">
        <v>8031</v>
      </c>
      <c r="AW678" t="str">
        <f>"3406300"</f>
        <v>3406300</v>
      </c>
    </row>
    <row r="679" spans="1:49">
      <c r="A679" t="str">
        <f t="shared" si="29"/>
        <v>41</v>
      </c>
      <c r="B679" t="s">
        <v>7942</v>
      </c>
      <c r="C679" t="str">
        <f>"2040"</f>
        <v>2040</v>
      </c>
      <c r="D679" t="s">
        <v>8032</v>
      </c>
      <c r="G679" t="s">
        <v>287</v>
      </c>
      <c r="H679" t="s">
        <v>902</v>
      </c>
      <c r="I679" t="s">
        <v>89</v>
      </c>
      <c r="J679" s="2" t="s">
        <v>8033</v>
      </c>
      <c r="K679" t="s">
        <v>8034</v>
      </c>
      <c r="L679" t="s">
        <v>60</v>
      </c>
      <c r="M679" t="s">
        <v>8035</v>
      </c>
      <c r="N679" t="s">
        <v>62</v>
      </c>
      <c r="O679" t="str">
        <f>"08865"</f>
        <v>08865</v>
      </c>
      <c r="P679" t="s">
        <v>8034</v>
      </c>
      <c r="S679" t="s">
        <v>8035</v>
      </c>
      <c r="T679" t="s">
        <v>62</v>
      </c>
      <c r="U679" t="str">
        <f>"08865"</f>
        <v>08865</v>
      </c>
      <c r="W679" t="s">
        <v>8036</v>
      </c>
      <c r="Y679" t="s">
        <v>7965</v>
      </c>
      <c r="Z679" t="s">
        <v>7966</v>
      </c>
      <c r="AA679" t="s">
        <v>68</v>
      </c>
      <c r="AC679" t="s">
        <v>7967</v>
      </c>
      <c r="AD679" t="s">
        <v>7968</v>
      </c>
      <c r="AE679" t="s">
        <v>415</v>
      </c>
      <c r="AG679" t="s">
        <v>212</v>
      </c>
      <c r="AH679" t="s">
        <v>8037</v>
      </c>
      <c r="AI679" t="s">
        <v>73</v>
      </c>
      <c r="AK679" t="s">
        <v>212</v>
      </c>
      <c r="AL679" t="s">
        <v>8037</v>
      </c>
      <c r="AM679" t="s">
        <v>76</v>
      </c>
      <c r="AO679" t="s">
        <v>965</v>
      </c>
      <c r="AP679" t="s">
        <v>8038</v>
      </c>
      <c r="AQ679" t="s">
        <v>80</v>
      </c>
      <c r="AS679" t="s">
        <v>212</v>
      </c>
      <c r="AT679" t="s">
        <v>8037</v>
      </c>
      <c r="AU679" t="s">
        <v>83</v>
      </c>
      <c r="AV679" t="s">
        <v>8039</v>
      </c>
      <c r="AW679" t="str">
        <f>"3406810"</f>
        <v>3406810</v>
      </c>
    </row>
    <row r="680" spans="1:49">
      <c r="A680" t="str">
        <f t="shared" si="29"/>
        <v>41</v>
      </c>
      <c r="B680" t="s">
        <v>7942</v>
      </c>
      <c r="C680" t="str">
        <f>"2250"</f>
        <v>2250</v>
      </c>
      <c r="D680" t="s">
        <v>8040</v>
      </c>
      <c r="F680" t="s">
        <v>77</v>
      </c>
      <c r="G680" t="s">
        <v>367</v>
      </c>
      <c r="H680" t="s">
        <v>8041</v>
      </c>
      <c r="I680" t="s">
        <v>57</v>
      </c>
      <c r="J680" s="2" t="s">
        <v>8042</v>
      </c>
      <c r="K680" t="s">
        <v>8043</v>
      </c>
      <c r="L680" t="s">
        <v>60</v>
      </c>
      <c r="M680" t="s">
        <v>5331</v>
      </c>
      <c r="N680" t="s">
        <v>62</v>
      </c>
      <c r="O680" t="str">
        <f>"07844"</f>
        <v>07844</v>
      </c>
      <c r="P680" t="s">
        <v>8044</v>
      </c>
      <c r="S680" t="s">
        <v>5331</v>
      </c>
      <c r="T680" t="s">
        <v>62</v>
      </c>
      <c r="U680" t="str">
        <f>"07844"</f>
        <v>07844</v>
      </c>
      <c r="W680" t="s">
        <v>8045</v>
      </c>
      <c r="X680" t="s">
        <v>54</v>
      </c>
      <c r="Y680" t="s">
        <v>711</v>
      </c>
      <c r="Z680" t="s">
        <v>8046</v>
      </c>
      <c r="AA680" t="s">
        <v>135</v>
      </c>
      <c r="AB680" t="s">
        <v>54</v>
      </c>
      <c r="AC680" t="s">
        <v>7967</v>
      </c>
      <c r="AD680" t="s">
        <v>7968</v>
      </c>
      <c r="AE680" t="s">
        <v>415</v>
      </c>
      <c r="AF680" t="s">
        <v>77</v>
      </c>
      <c r="AG680" t="s">
        <v>367</v>
      </c>
      <c r="AH680" t="s">
        <v>8041</v>
      </c>
      <c r="AI680" t="s">
        <v>73</v>
      </c>
      <c r="AJ680" t="s">
        <v>77</v>
      </c>
      <c r="AK680" t="s">
        <v>367</v>
      </c>
      <c r="AL680" t="s">
        <v>8041</v>
      </c>
      <c r="AM680" t="s">
        <v>76</v>
      </c>
      <c r="AN680" t="s">
        <v>54</v>
      </c>
      <c r="AO680" t="s">
        <v>541</v>
      </c>
      <c r="AP680" t="s">
        <v>359</v>
      </c>
      <c r="AQ680" t="s">
        <v>80</v>
      </c>
      <c r="AR680" t="s">
        <v>77</v>
      </c>
      <c r="AS680" t="s">
        <v>367</v>
      </c>
      <c r="AT680" t="s">
        <v>8041</v>
      </c>
      <c r="AU680" t="s">
        <v>83</v>
      </c>
      <c r="AV680" t="s">
        <v>8047</v>
      </c>
      <c r="AW680" t="str">
        <f>"3407470"</f>
        <v>3407470</v>
      </c>
    </row>
    <row r="681" spans="1:49">
      <c r="A681" t="str">
        <f t="shared" si="29"/>
        <v>41</v>
      </c>
      <c r="B681" t="s">
        <v>7942</v>
      </c>
      <c r="C681" t="str">
        <f>"2470"</f>
        <v>2470</v>
      </c>
      <c r="D681" t="s">
        <v>8048</v>
      </c>
      <c r="F681" t="s">
        <v>54</v>
      </c>
      <c r="G681" t="s">
        <v>5775</v>
      </c>
      <c r="H681" t="s">
        <v>8049</v>
      </c>
      <c r="I681" t="s">
        <v>57</v>
      </c>
      <c r="J681" s="2" t="s">
        <v>8050</v>
      </c>
      <c r="K681" t="s">
        <v>8051</v>
      </c>
      <c r="L681" t="s">
        <v>60</v>
      </c>
      <c r="M681" t="s">
        <v>8052</v>
      </c>
      <c r="N681" t="s">
        <v>62</v>
      </c>
      <c r="O681" t="str">
        <f>"07833"</f>
        <v>07833</v>
      </c>
      <c r="P681" t="s">
        <v>8053</v>
      </c>
      <c r="S681" t="s">
        <v>8052</v>
      </c>
      <c r="T681" t="s">
        <v>62</v>
      </c>
      <c r="U681" t="str">
        <f>"07833"</f>
        <v>07833</v>
      </c>
      <c r="W681" t="s">
        <v>8054</v>
      </c>
      <c r="X681" t="s">
        <v>77</v>
      </c>
      <c r="Y681" t="s">
        <v>120</v>
      </c>
      <c r="Z681" t="s">
        <v>4944</v>
      </c>
      <c r="AA681" t="s">
        <v>112</v>
      </c>
      <c r="AB681" t="s">
        <v>54</v>
      </c>
      <c r="AC681" t="s">
        <v>7274</v>
      </c>
      <c r="AD681" t="s">
        <v>5792</v>
      </c>
      <c r="AE681" t="s">
        <v>433</v>
      </c>
      <c r="AF681" t="s">
        <v>54</v>
      </c>
      <c r="AG681" t="s">
        <v>682</v>
      </c>
      <c r="AH681" t="s">
        <v>853</v>
      </c>
      <c r="AI681" t="s">
        <v>73</v>
      </c>
      <c r="AJ681" t="s">
        <v>54</v>
      </c>
      <c r="AK681" t="s">
        <v>682</v>
      </c>
      <c r="AL681" t="s">
        <v>853</v>
      </c>
      <c r="AM681" t="s">
        <v>76</v>
      </c>
      <c r="AR681" t="s">
        <v>54</v>
      </c>
      <c r="AS681" t="s">
        <v>5775</v>
      </c>
      <c r="AT681" t="s">
        <v>8049</v>
      </c>
      <c r="AU681" t="s">
        <v>83</v>
      </c>
      <c r="AV681" t="s">
        <v>8055</v>
      </c>
      <c r="AW681" t="str">
        <f>"3408070"</f>
        <v>3408070</v>
      </c>
    </row>
    <row r="682" spans="1:49">
      <c r="A682" t="str">
        <f t="shared" si="29"/>
        <v>41</v>
      </c>
      <c r="B682" t="s">
        <v>7942</v>
      </c>
      <c r="C682" t="str">
        <f>"2790"</f>
        <v>2790</v>
      </c>
      <c r="D682" t="s">
        <v>8056</v>
      </c>
      <c r="F682" t="s">
        <v>65</v>
      </c>
      <c r="G682" t="s">
        <v>1653</v>
      </c>
      <c r="H682" t="s">
        <v>8057</v>
      </c>
      <c r="I682" t="s">
        <v>89</v>
      </c>
      <c r="J682" s="2" t="s">
        <v>8058</v>
      </c>
      <c r="K682" t="s">
        <v>8059</v>
      </c>
      <c r="L682" t="s">
        <v>60</v>
      </c>
      <c r="M682" t="s">
        <v>8060</v>
      </c>
      <c r="N682" t="s">
        <v>62</v>
      </c>
      <c r="O682" t="s">
        <v>8061</v>
      </c>
      <c r="P682" t="s">
        <v>8059</v>
      </c>
      <c r="Q682" t="s">
        <v>8062</v>
      </c>
      <c r="S682" t="s">
        <v>8060</v>
      </c>
      <c r="T682" t="s">
        <v>62</v>
      </c>
      <c r="U682" t="str">
        <f>"08865"</f>
        <v>08865</v>
      </c>
      <c r="V682" t="str">
        <f>"9411"</f>
        <v>9411</v>
      </c>
      <c r="W682" t="s">
        <v>8063</v>
      </c>
      <c r="X682" t="s">
        <v>77</v>
      </c>
      <c r="Y682" t="s">
        <v>8064</v>
      </c>
      <c r="Z682" t="s">
        <v>8065</v>
      </c>
      <c r="AA682" t="s">
        <v>68</v>
      </c>
      <c r="AB682" t="s">
        <v>54</v>
      </c>
      <c r="AC682" t="s">
        <v>932</v>
      </c>
      <c r="AD682" t="s">
        <v>8041</v>
      </c>
      <c r="AE682" t="s">
        <v>98</v>
      </c>
      <c r="AF682" t="s">
        <v>65</v>
      </c>
      <c r="AG682" t="s">
        <v>4522</v>
      </c>
      <c r="AH682" t="s">
        <v>8066</v>
      </c>
      <c r="AI682" t="s">
        <v>73</v>
      </c>
      <c r="AJ682" t="s">
        <v>77</v>
      </c>
      <c r="AK682" t="s">
        <v>223</v>
      </c>
      <c r="AL682" t="s">
        <v>8066</v>
      </c>
      <c r="AM682" t="s">
        <v>76</v>
      </c>
      <c r="AN682" t="s">
        <v>77</v>
      </c>
      <c r="AO682" t="s">
        <v>965</v>
      </c>
      <c r="AP682" t="s">
        <v>6109</v>
      </c>
      <c r="AQ682" t="s">
        <v>80</v>
      </c>
      <c r="AR682" t="s">
        <v>65</v>
      </c>
      <c r="AS682" t="s">
        <v>1653</v>
      </c>
      <c r="AT682" t="s">
        <v>8057</v>
      </c>
      <c r="AU682" t="s">
        <v>83</v>
      </c>
      <c r="AV682" t="s">
        <v>8067</v>
      </c>
      <c r="AW682" t="str">
        <f>"3409000"</f>
        <v>3409000</v>
      </c>
    </row>
    <row r="683" spans="1:49">
      <c r="A683" t="str">
        <f t="shared" si="29"/>
        <v>41</v>
      </c>
      <c r="B683" t="s">
        <v>7942</v>
      </c>
      <c r="C683" t="str">
        <f>"2970"</f>
        <v>2970</v>
      </c>
      <c r="D683" t="s">
        <v>8068</v>
      </c>
      <c r="F683" t="s">
        <v>77</v>
      </c>
      <c r="G683" t="s">
        <v>166</v>
      </c>
      <c r="H683" t="s">
        <v>1013</v>
      </c>
      <c r="I683" t="s">
        <v>89</v>
      </c>
      <c r="J683" s="2" t="s">
        <v>8069</v>
      </c>
      <c r="K683" t="s">
        <v>8070</v>
      </c>
      <c r="L683" t="s">
        <v>60</v>
      </c>
      <c r="M683" t="s">
        <v>8071</v>
      </c>
      <c r="N683" t="s">
        <v>62</v>
      </c>
      <c r="O683" t="str">
        <f>"07865"</f>
        <v>07865</v>
      </c>
      <c r="P683" t="s">
        <v>8070</v>
      </c>
      <c r="S683" t="s">
        <v>8071</v>
      </c>
      <c r="T683" t="s">
        <v>62</v>
      </c>
      <c r="U683" t="str">
        <f>"07865"</f>
        <v>07865</v>
      </c>
      <c r="W683" t="s">
        <v>8072</v>
      </c>
      <c r="X683" t="s">
        <v>77</v>
      </c>
      <c r="Y683" t="s">
        <v>555</v>
      </c>
      <c r="Z683" t="s">
        <v>8073</v>
      </c>
      <c r="AA683" t="s">
        <v>135</v>
      </c>
      <c r="AB683" t="s">
        <v>54</v>
      </c>
      <c r="AC683" t="s">
        <v>8074</v>
      </c>
      <c r="AD683" t="s">
        <v>8075</v>
      </c>
      <c r="AE683" t="s">
        <v>433</v>
      </c>
      <c r="AF683" t="s">
        <v>77</v>
      </c>
      <c r="AG683" t="s">
        <v>328</v>
      </c>
      <c r="AH683" t="s">
        <v>8076</v>
      </c>
      <c r="AI683" t="s">
        <v>73</v>
      </c>
      <c r="AJ683" t="s">
        <v>77</v>
      </c>
      <c r="AK683" t="s">
        <v>166</v>
      </c>
      <c r="AL683" t="s">
        <v>1013</v>
      </c>
      <c r="AM683" t="s">
        <v>76</v>
      </c>
      <c r="AN683" t="s">
        <v>77</v>
      </c>
      <c r="AO683" t="s">
        <v>1479</v>
      </c>
      <c r="AP683" t="s">
        <v>8077</v>
      </c>
      <c r="AQ683" t="s">
        <v>80</v>
      </c>
      <c r="AR683" t="s">
        <v>77</v>
      </c>
      <c r="AS683" t="s">
        <v>328</v>
      </c>
      <c r="AT683" t="s">
        <v>8076</v>
      </c>
      <c r="AU683" t="s">
        <v>83</v>
      </c>
      <c r="AV683" t="s">
        <v>8078</v>
      </c>
      <c r="AW683" t="str">
        <f>"3409540"</f>
        <v>3409540</v>
      </c>
    </row>
    <row r="684" spans="1:49">
      <c r="A684" t="str">
        <f t="shared" si="29"/>
        <v>41</v>
      </c>
      <c r="B684" t="s">
        <v>7942</v>
      </c>
      <c r="C684" t="str">
        <f>"3675"</f>
        <v>3675</v>
      </c>
      <c r="D684" t="s">
        <v>8079</v>
      </c>
      <c r="F684" t="s">
        <v>70</v>
      </c>
      <c r="G684" t="s">
        <v>2480</v>
      </c>
      <c r="H684" t="s">
        <v>8080</v>
      </c>
      <c r="I684" t="s">
        <v>89</v>
      </c>
      <c r="J684" s="2" t="s">
        <v>8081</v>
      </c>
      <c r="K684" t="s">
        <v>8082</v>
      </c>
      <c r="L684" t="s">
        <v>60</v>
      </c>
      <c r="M684" t="s">
        <v>7975</v>
      </c>
      <c r="N684" t="s">
        <v>62</v>
      </c>
      <c r="O684" t="str">
        <f>"07825"</f>
        <v>07825</v>
      </c>
      <c r="P684" t="s">
        <v>8083</v>
      </c>
      <c r="S684" t="s">
        <v>7975</v>
      </c>
      <c r="T684" t="s">
        <v>62</v>
      </c>
      <c r="U684" t="str">
        <f>"07825"</f>
        <v>07825</v>
      </c>
      <c r="W684" t="s">
        <v>8084</v>
      </c>
      <c r="X684" t="s">
        <v>77</v>
      </c>
      <c r="Y684" t="s">
        <v>287</v>
      </c>
      <c r="Z684" t="s">
        <v>8085</v>
      </c>
      <c r="AA684" t="s">
        <v>68</v>
      </c>
      <c r="AB684" t="s">
        <v>65</v>
      </c>
      <c r="AC684" t="s">
        <v>8086</v>
      </c>
      <c r="AD684" t="s">
        <v>8087</v>
      </c>
      <c r="AE684" t="s">
        <v>98</v>
      </c>
      <c r="AF684" t="s">
        <v>65</v>
      </c>
      <c r="AG684" t="s">
        <v>8086</v>
      </c>
      <c r="AH684" t="s">
        <v>8087</v>
      </c>
      <c r="AI684" t="s">
        <v>73</v>
      </c>
      <c r="AJ684" t="s">
        <v>70</v>
      </c>
      <c r="AK684" t="s">
        <v>519</v>
      </c>
      <c r="AL684" t="s">
        <v>8088</v>
      </c>
      <c r="AM684" t="s">
        <v>76</v>
      </c>
      <c r="AN684" t="s">
        <v>77</v>
      </c>
      <c r="AO684" t="s">
        <v>338</v>
      </c>
      <c r="AP684" t="s">
        <v>8089</v>
      </c>
      <c r="AQ684" t="s">
        <v>80</v>
      </c>
      <c r="AR684" t="s">
        <v>77</v>
      </c>
      <c r="AS684" t="s">
        <v>3862</v>
      </c>
      <c r="AT684" t="s">
        <v>7361</v>
      </c>
      <c r="AU684" t="s">
        <v>83</v>
      </c>
      <c r="AV684" t="s">
        <v>8090</v>
      </c>
      <c r="AW684" t="str">
        <f>"3409550"</f>
        <v>3409550</v>
      </c>
    </row>
    <row r="685" spans="1:49">
      <c r="A685" t="str">
        <f t="shared" si="29"/>
        <v>41</v>
      </c>
      <c r="B685" t="s">
        <v>7942</v>
      </c>
      <c r="C685" t="str">
        <f>"3890"</f>
        <v>3890</v>
      </c>
      <c r="D685" t="s">
        <v>8091</v>
      </c>
      <c r="F685" t="s">
        <v>77</v>
      </c>
      <c r="G685" t="s">
        <v>873</v>
      </c>
      <c r="H685" t="s">
        <v>8092</v>
      </c>
      <c r="I685" t="s">
        <v>89</v>
      </c>
      <c r="J685" s="2" t="s">
        <v>8093</v>
      </c>
      <c r="K685" t="s">
        <v>8094</v>
      </c>
      <c r="L685" t="s">
        <v>60</v>
      </c>
      <c r="M685" t="s">
        <v>8095</v>
      </c>
      <c r="N685" t="s">
        <v>62</v>
      </c>
      <c r="O685" t="str">
        <f>"07863"</f>
        <v>07863</v>
      </c>
      <c r="P685" t="s">
        <v>8094</v>
      </c>
      <c r="S685" t="s">
        <v>8095</v>
      </c>
      <c r="T685" t="s">
        <v>62</v>
      </c>
      <c r="U685" t="str">
        <f>"07863"</f>
        <v>07863</v>
      </c>
      <c r="W685" t="s">
        <v>8096</v>
      </c>
      <c r="X685" t="s">
        <v>70</v>
      </c>
      <c r="Y685" t="s">
        <v>1837</v>
      </c>
      <c r="Z685" t="s">
        <v>8097</v>
      </c>
      <c r="AA685" t="s">
        <v>135</v>
      </c>
      <c r="AB685" t="s">
        <v>54</v>
      </c>
      <c r="AC685" t="s">
        <v>1207</v>
      </c>
      <c r="AD685" t="s">
        <v>8098</v>
      </c>
      <c r="AE685" t="s">
        <v>181</v>
      </c>
      <c r="AF685" t="s">
        <v>54</v>
      </c>
      <c r="AG685" t="s">
        <v>1353</v>
      </c>
      <c r="AH685" t="s">
        <v>8099</v>
      </c>
      <c r="AI685" t="s">
        <v>73</v>
      </c>
      <c r="AJ685" t="s">
        <v>54</v>
      </c>
      <c r="AK685" t="s">
        <v>1706</v>
      </c>
      <c r="AL685" t="s">
        <v>1156</v>
      </c>
      <c r="AM685" t="s">
        <v>76</v>
      </c>
      <c r="AN685" t="s">
        <v>54</v>
      </c>
      <c r="AO685" t="s">
        <v>1220</v>
      </c>
      <c r="AP685" t="s">
        <v>8100</v>
      </c>
      <c r="AQ685" t="s">
        <v>80</v>
      </c>
      <c r="AR685" t="s">
        <v>77</v>
      </c>
      <c r="AS685" t="s">
        <v>873</v>
      </c>
      <c r="AT685" t="s">
        <v>8092</v>
      </c>
      <c r="AU685" t="s">
        <v>83</v>
      </c>
      <c r="AV685" t="s">
        <v>8101</v>
      </c>
      <c r="AW685" t="str">
        <f>"3412300"</f>
        <v>3412300</v>
      </c>
    </row>
    <row r="686" spans="1:49">
      <c r="A686" t="str">
        <f t="shared" si="29"/>
        <v>41</v>
      </c>
      <c r="B686" t="s">
        <v>7942</v>
      </c>
      <c r="C686" t="str">
        <f>"4100"</f>
        <v>4100</v>
      </c>
      <c r="D686" t="s">
        <v>8102</v>
      </c>
      <c r="F686" t="s">
        <v>65</v>
      </c>
      <c r="G686" t="s">
        <v>3427</v>
      </c>
      <c r="H686" t="s">
        <v>8103</v>
      </c>
      <c r="I686" t="s">
        <v>89</v>
      </c>
      <c r="J686" s="2" t="s">
        <v>8104</v>
      </c>
      <c r="K686" t="s">
        <v>8105</v>
      </c>
      <c r="L686" t="s">
        <v>60</v>
      </c>
      <c r="M686" t="s">
        <v>8060</v>
      </c>
      <c r="N686" t="s">
        <v>62</v>
      </c>
      <c r="O686" t="str">
        <f>"08865"</f>
        <v>08865</v>
      </c>
      <c r="P686" t="s">
        <v>8105</v>
      </c>
      <c r="S686" t="s">
        <v>8060</v>
      </c>
      <c r="T686" t="s">
        <v>62</v>
      </c>
      <c r="U686" t="str">
        <f>"08865"</f>
        <v>08865</v>
      </c>
      <c r="W686" t="s">
        <v>8106</v>
      </c>
      <c r="X686" t="s">
        <v>54</v>
      </c>
      <c r="Y686" t="s">
        <v>4575</v>
      </c>
      <c r="Z686" t="s">
        <v>1001</v>
      </c>
      <c r="AA686" t="s">
        <v>135</v>
      </c>
      <c r="AB686" t="s">
        <v>70</v>
      </c>
      <c r="AC686" t="s">
        <v>1605</v>
      </c>
      <c r="AD686" t="s">
        <v>8107</v>
      </c>
      <c r="AE686" t="s">
        <v>415</v>
      </c>
      <c r="AF686" t="s">
        <v>65</v>
      </c>
      <c r="AG686" t="s">
        <v>559</v>
      </c>
      <c r="AH686" t="s">
        <v>1893</v>
      </c>
      <c r="AI686" t="s">
        <v>73</v>
      </c>
      <c r="AJ686" t="s">
        <v>65</v>
      </c>
      <c r="AK686" t="s">
        <v>559</v>
      </c>
      <c r="AL686" t="s">
        <v>1893</v>
      </c>
      <c r="AM686" t="s">
        <v>76</v>
      </c>
      <c r="AN686" t="s">
        <v>77</v>
      </c>
      <c r="AO686" t="s">
        <v>120</v>
      </c>
      <c r="AP686" t="s">
        <v>8108</v>
      </c>
      <c r="AQ686" t="s">
        <v>80</v>
      </c>
      <c r="AR686" t="s">
        <v>77</v>
      </c>
      <c r="AS686" t="s">
        <v>873</v>
      </c>
      <c r="AT686" t="s">
        <v>8109</v>
      </c>
      <c r="AU686" t="s">
        <v>83</v>
      </c>
      <c r="AV686" t="s">
        <v>8110</v>
      </c>
      <c r="AW686" t="str">
        <f>"3412960"</f>
        <v>3412960</v>
      </c>
    </row>
    <row r="687" spans="1:49">
      <c r="A687" t="str">
        <f t="shared" si="29"/>
        <v>41</v>
      </c>
      <c r="B687" t="s">
        <v>7942</v>
      </c>
      <c r="C687" t="str">
        <f>"4200"</f>
        <v>4200</v>
      </c>
      <c r="D687" t="s">
        <v>8111</v>
      </c>
      <c r="F687" t="s">
        <v>54</v>
      </c>
      <c r="G687" t="s">
        <v>1017</v>
      </c>
      <c r="H687" t="s">
        <v>8112</v>
      </c>
      <c r="I687" t="s">
        <v>89</v>
      </c>
      <c r="J687" s="2" t="s">
        <v>8113</v>
      </c>
      <c r="K687" t="s">
        <v>8114</v>
      </c>
      <c r="L687" t="s">
        <v>60</v>
      </c>
      <c r="M687" t="s">
        <v>8060</v>
      </c>
      <c r="N687" t="s">
        <v>62</v>
      </c>
      <c r="O687" t="str">
        <f>"08865"</f>
        <v>08865</v>
      </c>
      <c r="P687" t="s">
        <v>8114</v>
      </c>
      <c r="S687" t="s">
        <v>8060</v>
      </c>
      <c r="T687" t="s">
        <v>62</v>
      </c>
      <c r="U687" t="str">
        <f>"08865"</f>
        <v>08865</v>
      </c>
      <c r="W687" t="s">
        <v>8115</v>
      </c>
      <c r="X687" t="s">
        <v>77</v>
      </c>
      <c r="Y687" t="s">
        <v>4346</v>
      </c>
      <c r="Z687" t="s">
        <v>4347</v>
      </c>
      <c r="AA687" t="s">
        <v>135</v>
      </c>
      <c r="AB687" t="s">
        <v>77</v>
      </c>
      <c r="AC687" t="s">
        <v>418</v>
      </c>
      <c r="AD687" t="s">
        <v>119</v>
      </c>
      <c r="AE687" t="s">
        <v>433</v>
      </c>
      <c r="AF687" t="s">
        <v>77</v>
      </c>
      <c r="AG687" t="s">
        <v>697</v>
      </c>
      <c r="AH687" t="s">
        <v>8116</v>
      </c>
      <c r="AI687" t="s">
        <v>73</v>
      </c>
      <c r="AJ687" t="s">
        <v>77</v>
      </c>
      <c r="AK687" t="s">
        <v>697</v>
      </c>
      <c r="AL687" t="s">
        <v>8116</v>
      </c>
      <c r="AM687" t="s">
        <v>76</v>
      </c>
      <c r="AN687" t="s">
        <v>77</v>
      </c>
      <c r="AO687" t="s">
        <v>697</v>
      </c>
      <c r="AP687" t="s">
        <v>8116</v>
      </c>
      <c r="AQ687" t="s">
        <v>80</v>
      </c>
      <c r="AR687" t="s">
        <v>77</v>
      </c>
      <c r="AS687" t="s">
        <v>697</v>
      </c>
      <c r="AT687" t="s">
        <v>8116</v>
      </c>
      <c r="AU687" t="s">
        <v>83</v>
      </c>
      <c r="AV687" t="s">
        <v>8117</v>
      </c>
      <c r="AW687" t="str">
        <f>"3413260"</f>
        <v>3413260</v>
      </c>
    </row>
    <row r="688" spans="1:49">
      <c r="A688" t="str">
        <f>"80"</f>
        <v>80</v>
      </c>
      <c r="B688" t="s">
        <v>7942</v>
      </c>
      <c r="C688" t="str">
        <f>"7727"</f>
        <v>7727</v>
      </c>
      <c r="D688" t="s">
        <v>8118</v>
      </c>
      <c r="E688" t="str">
        <f>"900"</f>
        <v>900</v>
      </c>
      <c r="G688" t="s">
        <v>150</v>
      </c>
      <c r="H688" t="s">
        <v>8119</v>
      </c>
      <c r="I688" t="s">
        <v>128</v>
      </c>
      <c r="J688" s="2" t="s">
        <v>8120</v>
      </c>
      <c r="K688" t="s">
        <v>8121</v>
      </c>
      <c r="L688" t="s">
        <v>60</v>
      </c>
      <c r="M688" t="s">
        <v>8122</v>
      </c>
      <c r="N688" t="s">
        <v>62</v>
      </c>
      <c r="O688" t="str">
        <f>"07825"</f>
        <v>07825</v>
      </c>
      <c r="P688" t="s">
        <v>8121</v>
      </c>
      <c r="S688" t="s">
        <v>7975</v>
      </c>
      <c r="T688" t="s">
        <v>62</v>
      </c>
      <c r="U688" t="str">
        <f>"07825"</f>
        <v>07825</v>
      </c>
      <c r="W688" t="s">
        <v>8123</v>
      </c>
      <c r="Y688" t="s">
        <v>170</v>
      </c>
      <c r="Z688" t="s">
        <v>1676</v>
      </c>
      <c r="AA688" t="s">
        <v>112</v>
      </c>
      <c r="AC688" t="s">
        <v>7063</v>
      </c>
      <c r="AD688" t="s">
        <v>8124</v>
      </c>
      <c r="AE688" t="s">
        <v>415</v>
      </c>
      <c r="AG688" t="s">
        <v>150</v>
      </c>
      <c r="AH688" t="s">
        <v>8119</v>
      </c>
      <c r="AI688" t="s">
        <v>73</v>
      </c>
      <c r="AK688" t="s">
        <v>1085</v>
      </c>
      <c r="AL688" t="s">
        <v>8125</v>
      </c>
      <c r="AM688" t="s">
        <v>76</v>
      </c>
      <c r="AO688" t="s">
        <v>1085</v>
      </c>
      <c r="AP688" t="s">
        <v>8125</v>
      </c>
      <c r="AQ688" t="s">
        <v>80</v>
      </c>
      <c r="AS688" t="s">
        <v>1085</v>
      </c>
      <c r="AT688" t="s">
        <v>8125</v>
      </c>
      <c r="AU688" t="s">
        <v>83</v>
      </c>
      <c r="AV688" t="s">
        <v>8126</v>
      </c>
      <c r="AW688" t="str">
        <f>"3400082"</f>
        <v>3400082</v>
      </c>
    </row>
    <row r="689" spans="1:49">
      <c r="A689" t="str">
        <f t="shared" ref="A689:A694" si="30">"41"</f>
        <v>41</v>
      </c>
      <c r="B689" t="s">
        <v>7942</v>
      </c>
      <c r="C689" t="str">
        <f>"5450"</f>
        <v>5450</v>
      </c>
      <c r="D689" t="s">
        <v>8127</v>
      </c>
      <c r="F689" t="s">
        <v>65</v>
      </c>
      <c r="G689" t="s">
        <v>509</v>
      </c>
      <c r="H689" t="s">
        <v>8128</v>
      </c>
      <c r="I689" t="s">
        <v>89</v>
      </c>
      <c r="J689" s="2" t="s">
        <v>8129</v>
      </c>
      <c r="K689" t="s">
        <v>8130</v>
      </c>
      <c r="L689" t="s">
        <v>60</v>
      </c>
      <c r="M689" t="s">
        <v>8095</v>
      </c>
      <c r="N689" t="s">
        <v>62</v>
      </c>
      <c r="O689" t="str">
        <f>"07863"</f>
        <v>07863</v>
      </c>
      <c r="P689" t="s">
        <v>8130</v>
      </c>
      <c r="S689" t="s">
        <v>8095</v>
      </c>
      <c r="T689" t="s">
        <v>62</v>
      </c>
      <c r="U689" t="str">
        <f>"07863"</f>
        <v>07863</v>
      </c>
      <c r="W689" t="s">
        <v>8131</v>
      </c>
      <c r="X689" t="s">
        <v>77</v>
      </c>
      <c r="Y689" t="s">
        <v>182</v>
      </c>
      <c r="Z689" t="s">
        <v>7949</v>
      </c>
      <c r="AA689" t="s">
        <v>135</v>
      </c>
      <c r="AB689" t="s">
        <v>65</v>
      </c>
      <c r="AC689" t="s">
        <v>509</v>
      </c>
      <c r="AD689" t="s">
        <v>8128</v>
      </c>
      <c r="AE689" t="s">
        <v>415</v>
      </c>
      <c r="AF689" t="s">
        <v>65</v>
      </c>
      <c r="AG689" t="s">
        <v>509</v>
      </c>
      <c r="AH689" t="s">
        <v>8128</v>
      </c>
      <c r="AI689" t="s">
        <v>73</v>
      </c>
      <c r="AJ689" t="s">
        <v>65</v>
      </c>
      <c r="AK689" t="s">
        <v>509</v>
      </c>
      <c r="AL689" t="s">
        <v>8128</v>
      </c>
      <c r="AM689" t="s">
        <v>76</v>
      </c>
      <c r="AN689" t="s">
        <v>77</v>
      </c>
      <c r="AO689" t="s">
        <v>328</v>
      </c>
      <c r="AP689" t="s">
        <v>7929</v>
      </c>
      <c r="AQ689" t="s">
        <v>80</v>
      </c>
      <c r="AR689" t="s">
        <v>65</v>
      </c>
      <c r="AS689" t="s">
        <v>509</v>
      </c>
      <c r="AT689" t="s">
        <v>8128</v>
      </c>
      <c r="AU689" t="s">
        <v>83</v>
      </c>
      <c r="AV689" t="s">
        <v>8132</v>
      </c>
      <c r="AW689" t="str">
        <f>"3480362"</f>
        <v>3480362</v>
      </c>
    </row>
    <row r="690" spans="1:49">
      <c r="A690" t="str">
        <f t="shared" si="30"/>
        <v>41</v>
      </c>
      <c r="B690" t="s">
        <v>7942</v>
      </c>
      <c r="C690" t="str">
        <f>"5460"</f>
        <v>5460</v>
      </c>
      <c r="D690" t="s">
        <v>8133</v>
      </c>
      <c r="F690" t="s">
        <v>77</v>
      </c>
      <c r="G690" t="s">
        <v>8134</v>
      </c>
      <c r="H690" t="s">
        <v>8135</v>
      </c>
      <c r="I690" t="s">
        <v>89</v>
      </c>
      <c r="J690" s="2" t="s">
        <v>8136</v>
      </c>
      <c r="K690" t="s">
        <v>8137</v>
      </c>
      <c r="L690" t="s">
        <v>60</v>
      </c>
      <c r="M690" t="s">
        <v>7188</v>
      </c>
      <c r="N690" t="s">
        <v>62</v>
      </c>
      <c r="O690" t="str">
        <f>"07882"</f>
        <v>07882</v>
      </c>
      <c r="P690" t="s">
        <v>8137</v>
      </c>
      <c r="S690" t="s">
        <v>7188</v>
      </c>
      <c r="T690" t="s">
        <v>62</v>
      </c>
      <c r="U690" t="str">
        <f>"07882"</f>
        <v>07882</v>
      </c>
      <c r="W690" t="s">
        <v>8138</v>
      </c>
      <c r="X690" t="s">
        <v>70</v>
      </c>
      <c r="Y690" t="s">
        <v>2012</v>
      </c>
      <c r="Z690" t="s">
        <v>8139</v>
      </c>
      <c r="AA690" t="s">
        <v>68</v>
      </c>
      <c r="AB690" t="s">
        <v>54</v>
      </c>
      <c r="AC690" t="s">
        <v>647</v>
      </c>
      <c r="AD690" t="s">
        <v>7999</v>
      </c>
      <c r="AE690" t="s">
        <v>415</v>
      </c>
      <c r="AF690" t="s">
        <v>70</v>
      </c>
      <c r="AG690" t="s">
        <v>5679</v>
      </c>
      <c r="AH690" t="s">
        <v>8140</v>
      </c>
      <c r="AI690" t="s">
        <v>73</v>
      </c>
      <c r="AJ690" t="s">
        <v>77</v>
      </c>
      <c r="AK690" t="s">
        <v>3970</v>
      </c>
      <c r="AL690" t="s">
        <v>5871</v>
      </c>
      <c r="AM690" t="s">
        <v>76</v>
      </c>
      <c r="AN690" t="s">
        <v>77</v>
      </c>
      <c r="AO690" t="s">
        <v>873</v>
      </c>
      <c r="AP690" t="s">
        <v>8141</v>
      </c>
      <c r="AQ690" t="s">
        <v>80</v>
      </c>
      <c r="AR690" t="s">
        <v>77</v>
      </c>
      <c r="AS690" t="s">
        <v>2012</v>
      </c>
      <c r="AT690" t="s">
        <v>8139</v>
      </c>
      <c r="AU690" t="s">
        <v>83</v>
      </c>
      <c r="AV690" t="s">
        <v>8142</v>
      </c>
      <c r="AW690" t="str">
        <f>"3417920"</f>
        <v>3417920</v>
      </c>
    </row>
    <row r="691" spans="1:49">
      <c r="A691" t="str">
        <f t="shared" si="30"/>
        <v>41</v>
      </c>
      <c r="B691" t="s">
        <v>7942</v>
      </c>
      <c r="C691" t="str">
        <f>"5465"</f>
        <v>5465</v>
      </c>
      <c r="D691" t="s">
        <v>8143</v>
      </c>
      <c r="F691" t="s">
        <v>77</v>
      </c>
      <c r="G691" t="s">
        <v>4148</v>
      </c>
      <c r="H691" t="s">
        <v>8144</v>
      </c>
      <c r="I691" t="s">
        <v>89</v>
      </c>
      <c r="J691" s="2" t="s">
        <v>8145</v>
      </c>
      <c r="K691" t="s">
        <v>8146</v>
      </c>
      <c r="L691" t="s">
        <v>60</v>
      </c>
      <c r="M691" t="s">
        <v>7188</v>
      </c>
      <c r="N691" t="s">
        <v>62</v>
      </c>
      <c r="O691" t="str">
        <f>"07882"</f>
        <v>07882</v>
      </c>
      <c r="P691" t="s">
        <v>8146</v>
      </c>
      <c r="S691" t="s">
        <v>7188</v>
      </c>
      <c r="T691" t="s">
        <v>62</v>
      </c>
      <c r="U691" t="str">
        <f>"07882"</f>
        <v>07882</v>
      </c>
      <c r="W691" t="s">
        <v>8147</v>
      </c>
      <c r="X691" t="s">
        <v>54</v>
      </c>
      <c r="Y691" t="s">
        <v>8148</v>
      </c>
      <c r="Z691" t="s">
        <v>8149</v>
      </c>
      <c r="AA691" t="s">
        <v>135</v>
      </c>
      <c r="AB691" t="s">
        <v>54</v>
      </c>
      <c r="AC691" t="s">
        <v>8150</v>
      </c>
      <c r="AD691" t="s">
        <v>8151</v>
      </c>
      <c r="AE691" t="s">
        <v>69</v>
      </c>
      <c r="AF691" t="s">
        <v>77</v>
      </c>
      <c r="AG691" t="s">
        <v>1067</v>
      </c>
      <c r="AH691" t="s">
        <v>8152</v>
      </c>
      <c r="AI691" t="s">
        <v>73</v>
      </c>
      <c r="AJ691" t="s">
        <v>54</v>
      </c>
      <c r="AK691" t="s">
        <v>711</v>
      </c>
      <c r="AL691" t="s">
        <v>2895</v>
      </c>
      <c r="AM691" t="s">
        <v>76</v>
      </c>
      <c r="AN691" t="s">
        <v>77</v>
      </c>
      <c r="AO691" t="s">
        <v>509</v>
      </c>
      <c r="AP691" t="s">
        <v>8153</v>
      </c>
      <c r="AQ691" t="s">
        <v>80</v>
      </c>
      <c r="AR691" t="s">
        <v>77</v>
      </c>
      <c r="AS691" t="s">
        <v>190</v>
      </c>
      <c r="AT691" t="s">
        <v>8154</v>
      </c>
      <c r="AU691" t="s">
        <v>83</v>
      </c>
      <c r="AV691" t="s">
        <v>8155</v>
      </c>
      <c r="AW691" t="str">
        <f>"3416970"</f>
        <v>3416970</v>
      </c>
    </row>
    <row r="692" spans="1:49">
      <c r="A692" t="str">
        <f t="shared" si="30"/>
        <v>41</v>
      </c>
      <c r="B692" t="s">
        <v>7942</v>
      </c>
      <c r="C692" t="str">
        <f>"5480"</f>
        <v>5480</v>
      </c>
      <c r="D692" t="s">
        <v>8156</v>
      </c>
      <c r="F692" t="s">
        <v>54</v>
      </c>
      <c r="G692" t="s">
        <v>619</v>
      </c>
      <c r="H692" t="s">
        <v>8157</v>
      </c>
      <c r="I692" t="s">
        <v>57</v>
      </c>
      <c r="J692" s="2" t="s">
        <v>8158</v>
      </c>
      <c r="K692" t="s">
        <v>8159</v>
      </c>
      <c r="L692" t="s">
        <v>60</v>
      </c>
      <c r="M692" t="s">
        <v>7188</v>
      </c>
      <c r="N692" t="s">
        <v>62</v>
      </c>
      <c r="O692" t="str">
        <f>"07882"</f>
        <v>07882</v>
      </c>
      <c r="P692" t="s">
        <v>8159</v>
      </c>
      <c r="S692" t="s">
        <v>7188</v>
      </c>
      <c r="T692" t="s">
        <v>62</v>
      </c>
      <c r="U692" t="str">
        <f>"07882"</f>
        <v>07882</v>
      </c>
      <c r="W692" t="s">
        <v>8160</v>
      </c>
      <c r="X692" t="s">
        <v>77</v>
      </c>
      <c r="Y692" t="s">
        <v>509</v>
      </c>
      <c r="Z692" t="s">
        <v>4347</v>
      </c>
      <c r="AA692" t="s">
        <v>112</v>
      </c>
      <c r="AB692" t="s">
        <v>54</v>
      </c>
      <c r="AC692" t="s">
        <v>3703</v>
      </c>
      <c r="AD692" t="s">
        <v>8161</v>
      </c>
      <c r="AE692" t="s">
        <v>415</v>
      </c>
      <c r="AF692" t="s">
        <v>77</v>
      </c>
      <c r="AG692" t="s">
        <v>4148</v>
      </c>
      <c r="AH692" t="s">
        <v>1483</v>
      </c>
      <c r="AI692" t="s">
        <v>73</v>
      </c>
      <c r="AJ692" t="s">
        <v>77</v>
      </c>
      <c r="AK692" t="s">
        <v>4148</v>
      </c>
      <c r="AL692" t="s">
        <v>1483</v>
      </c>
      <c r="AM692" t="s">
        <v>76</v>
      </c>
      <c r="AN692" t="s">
        <v>77</v>
      </c>
      <c r="AO692" t="s">
        <v>4148</v>
      </c>
      <c r="AP692" t="s">
        <v>1483</v>
      </c>
      <c r="AQ692" t="s">
        <v>80</v>
      </c>
      <c r="AR692" t="s">
        <v>77</v>
      </c>
      <c r="AS692" t="s">
        <v>4148</v>
      </c>
      <c r="AT692" t="s">
        <v>1483</v>
      </c>
      <c r="AU692" t="s">
        <v>83</v>
      </c>
      <c r="AV692" t="s">
        <v>8162</v>
      </c>
      <c r="AW692" t="str">
        <f>"3417010"</f>
        <v>3417010</v>
      </c>
    </row>
    <row r="693" spans="1:49">
      <c r="A693" t="str">
        <f t="shared" si="30"/>
        <v>41</v>
      </c>
      <c r="B693" t="s">
        <v>7942</v>
      </c>
      <c r="C693" t="str">
        <f>"5530"</f>
        <v>5530</v>
      </c>
      <c r="D693" t="s">
        <v>2145</v>
      </c>
      <c r="F693" t="s">
        <v>77</v>
      </c>
      <c r="G693" t="s">
        <v>697</v>
      </c>
      <c r="H693" t="s">
        <v>8163</v>
      </c>
      <c r="I693" t="s">
        <v>89</v>
      </c>
      <c r="J693" s="2" t="s">
        <v>8164</v>
      </c>
      <c r="K693" t="s">
        <v>8165</v>
      </c>
      <c r="L693" t="s">
        <v>60</v>
      </c>
      <c r="M693" t="s">
        <v>7188</v>
      </c>
      <c r="N693" t="s">
        <v>62</v>
      </c>
      <c r="O693" t="str">
        <f>"07882"</f>
        <v>07882</v>
      </c>
      <c r="P693" t="s">
        <v>8165</v>
      </c>
      <c r="S693" t="s">
        <v>7188</v>
      </c>
      <c r="T693" t="s">
        <v>62</v>
      </c>
      <c r="U693" t="str">
        <f>"07882"</f>
        <v>07882</v>
      </c>
      <c r="W693" t="s">
        <v>8166</v>
      </c>
      <c r="X693" t="s">
        <v>54</v>
      </c>
      <c r="Y693" t="s">
        <v>2160</v>
      </c>
      <c r="Z693" t="s">
        <v>161</v>
      </c>
      <c r="AA693" t="s">
        <v>112</v>
      </c>
      <c r="AB693" t="s">
        <v>77</v>
      </c>
      <c r="AC693" t="s">
        <v>120</v>
      </c>
      <c r="AD693" t="s">
        <v>5074</v>
      </c>
      <c r="AE693" t="s">
        <v>587</v>
      </c>
      <c r="AF693" t="s">
        <v>54</v>
      </c>
      <c r="AG693" t="s">
        <v>1209</v>
      </c>
      <c r="AH693" t="s">
        <v>5871</v>
      </c>
      <c r="AI693" t="s">
        <v>73</v>
      </c>
      <c r="AJ693" t="s">
        <v>54</v>
      </c>
      <c r="AK693" t="s">
        <v>928</v>
      </c>
      <c r="AL693" t="s">
        <v>2950</v>
      </c>
      <c r="AM693" t="s">
        <v>76</v>
      </c>
      <c r="AR693" t="s">
        <v>77</v>
      </c>
      <c r="AS693" t="s">
        <v>697</v>
      </c>
      <c r="AT693" t="s">
        <v>8163</v>
      </c>
      <c r="AU693" t="s">
        <v>83</v>
      </c>
      <c r="AV693" t="s">
        <v>8167</v>
      </c>
      <c r="AW693" t="str">
        <f>"3417160"</f>
        <v>3417160</v>
      </c>
    </row>
    <row r="694" spans="1:49">
      <c r="A694" t="str">
        <f t="shared" si="30"/>
        <v>41</v>
      </c>
      <c r="B694" t="s">
        <v>7942</v>
      </c>
      <c r="C694" t="str">
        <f>"5780"</f>
        <v>5780</v>
      </c>
      <c r="D694" t="s">
        <v>8168</v>
      </c>
      <c r="F694" t="s">
        <v>77</v>
      </c>
      <c r="G694" t="s">
        <v>273</v>
      </c>
      <c r="H694" t="s">
        <v>274</v>
      </c>
      <c r="I694" t="s">
        <v>57</v>
      </c>
      <c r="J694" s="2" t="s">
        <v>8169</v>
      </c>
      <c r="K694" t="s">
        <v>8170</v>
      </c>
      <c r="L694" t="s">
        <v>60</v>
      </c>
      <c r="M694" t="s">
        <v>8171</v>
      </c>
      <c r="N694" t="s">
        <v>62</v>
      </c>
      <c r="O694" t="s">
        <v>8172</v>
      </c>
      <c r="P694" t="s">
        <v>8170</v>
      </c>
      <c r="S694" t="s">
        <v>8171</v>
      </c>
      <c r="T694" t="s">
        <v>62</v>
      </c>
      <c r="U694" t="str">
        <f>"07823"</f>
        <v>07823</v>
      </c>
      <c r="V694" t="str">
        <f>"9798"</f>
        <v>9798</v>
      </c>
      <c r="W694" t="s">
        <v>8173</v>
      </c>
      <c r="X694" t="s">
        <v>54</v>
      </c>
      <c r="Y694" t="s">
        <v>711</v>
      </c>
      <c r="Z694" t="s">
        <v>8046</v>
      </c>
      <c r="AA694" t="s">
        <v>135</v>
      </c>
      <c r="AB694" t="s">
        <v>70</v>
      </c>
      <c r="AC694" t="s">
        <v>7967</v>
      </c>
      <c r="AD694" t="s">
        <v>7968</v>
      </c>
      <c r="AE694" t="s">
        <v>98</v>
      </c>
      <c r="AF694" t="s">
        <v>77</v>
      </c>
      <c r="AG694" t="s">
        <v>273</v>
      </c>
      <c r="AH694" t="s">
        <v>274</v>
      </c>
      <c r="AI694" t="s">
        <v>73</v>
      </c>
      <c r="AJ694" t="s">
        <v>54</v>
      </c>
      <c r="AK694" t="s">
        <v>521</v>
      </c>
      <c r="AL694" t="s">
        <v>1026</v>
      </c>
      <c r="AM694" t="s">
        <v>76</v>
      </c>
      <c r="AN694" t="s">
        <v>54</v>
      </c>
      <c r="AO694" t="s">
        <v>711</v>
      </c>
      <c r="AP694" t="s">
        <v>8174</v>
      </c>
      <c r="AQ694" t="s">
        <v>80</v>
      </c>
      <c r="AR694" t="s">
        <v>77</v>
      </c>
      <c r="AS694" t="s">
        <v>310</v>
      </c>
      <c r="AT694" t="s">
        <v>8175</v>
      </c>
      <c r="AU694" t="s">
        <v>83</v>
      </c>
      <c r="AV694" t="s">
        <v>8176</v>
      </c>
      <c r="AW694" t="str">
        <f>"3417910"</f>
        <v>3417910</v>
      </c>
    </row>
    <row r="697" spans="1:49">
      <c r="A697" t="s">
        <v>8248</v>
      </c>
    </row>
  </sheetData>
  <hyperlinks>
    <hyperlink ref="J112" r:id="rId1"/>
    <hyperlink ref="J384" r:id="rId2"/>
    <hyperlink ref="J172" r:id="rId3"/>
    <hyperlink ref="J193" r:id="rId4"/>
    <hyperlink ref="J236" r:id="rId5"/>
    <hyperlink ref="J629" r:id="rId6"/>
    <hyperlink ref="J554" r:id="rId7"/>
    <hyperlink ref="J445" r:id="rId8"/>
    <hyperlink ref="J522" r:id="rId9"/>
    <hyperlink ref="J461" r:id="rId10"/>
    <hyperlink ref="J670" r:id="rId11"/>
    <hyperlink ref="J150" r:id="rId12"/>
    <hyperlink ref="J159" r:id="rId13"/>
    <hyperlink ref="J20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22"/>
  <sheetViews>
    <sheetView workbookViewId="0">
      <selection activeCell="G17" sqref="G17"/>
    </sheetView>
  </sheetViews>
  <sheetFormatPr defaultRowHeight="14.5"/>
  <cols>
    <col min="1" max="1" width="18.36328125" customWidth="1"/>
    <col min="2" max="2" width="22.90625" customWidth="1"/>
    <col min="3" max="3" width="39.36328125" customWidth="1"/>
    <col min="4" max="4" width="25.1796875" customWidth="1"/>
    <col min="5" max="5" width="22.90625" customWidth="1"/>
  </cols>
  <sheetData>
    <row r="1" spans="1:5">
      <c r="A1" s="6" t="s">
        <v>8194</v>
      </c>
      <c r="B1" s="6" t="s">
        <v>8195</v>
      </c>
      <c r="C1" s="6" t="s">
        <v>8196</v>
      </c>
      <c r="D1" s="6" t="s">
        <v>8197</v>
      </c>
      <c r="E1" s="6" t="s">
        <v>8198</v>
      </c>
    </row>
    <row r="2" spans="1:5" s="10" customFormat="1" ht="29">
      <c r="A2" s="11" t="s">
        <v>8244</v>
      </c>
      <c r="B2" s="10" t="s">
        <v>8245</v>
      </c>
      <c r="D2" s="4" t="s">
        <v>8246</v>
      </c>
    </row>
    <row r="3" spans="1:5">
      <c r="A3" s="12"/>
      <c r="B3" s="12"/>
      <c r="C3" s="12"/>
      <c r="D3" s="12"/>
      <c r="E3" s="12"/>
    </row>
    <row r="4" spans="1:5">
      <c r="A4" s="7" t="s">
        <v>8199</v>
      </c>
      <c r="B4" s="7" t="s">
        <v>8200</v>
      </c>
      <c r="C4" s="7" t="s">
        <v>8204</v>
      </c>
      <c r="D4" s="8" t="s">
        <v>8201</v>
      </c>
      <c r="E4" s="7" t="s">
        <v>8212</v>
      </c>
    </row>
    <row r="5" spans="1:5">
      <c r="A5" s="7" t="s">
        <v>8199</v>
      </c>
      <c r="B5" s="7" t="s">
        <v>8202</v>
      </c>
      <c r="C5" s="7" t="s">
        <v>8203</v>
      </c>
      <c r="D5" s="8" t="s">
        <v>8205</v>
      </c>
      <c r="E5" s="7" t="s">
        <v>8212</v>
      </c>
    </row>
    <row r="6" spans="1:5">
      <c r="A6" s="7" t="s">
        <v>8199</v>
      </c>
      <c r="B6" s="7" t="s">
        <v>8206</v>
      </c>
      <c r="C6" s="7" t="s">
        <v>8207</v>
      </c>
      <c r="D6" s="8" t="s">
        <v>8208</v>
      </c>
      <c r="E6" s="7" t="s">
        <v>8212</v>
      </c>
    </row>
    <row r="8" spans="1:5">
      <c r="A8" s="9"/>
      <c r="B8" s="9"/>
      <c r="C8" s="9"/>
      <c r="D8" s="9"/>
      <c r="E8" s="9"/>
    </row>
    <row r="9" spans="1:5" ht="29">
      <c r="A9" s="5" t="s">
        <v>8241</v>
      </c>
      <c r="B9" t="s">
        <v>8229</v>
      </c>
      <c r="C9" t="s">
        <v>8230</v>
      </c>
      <c r="D9" s="4" t="s">
        <v>8231</v>
      </c>
      <c r="E9" t="s">
        <v>8232</v>
      </c>
    </row>
    <row r="10" spans="1:5">
      <c r="A10" s="5"/>
      <c r="D10" s="4"/>
    </row>
    <row r="11" spans="1:5">
      <c r="A11" s="9"/>
      <c r="B11" s="9"/>
      <c r="C11" s="9"/>
      <c r="D11" s="9"/>
      <c r="E11" s="9"/>
    </row>
    <row r="12" spans="1:5">
      <c r="A12" t="s">
        <v>8213</v>
      </c>
      <c r="B12" t="s">
        <v>8220</v>
      </c>
      <c r="C12" t="s">
        <v>8215</v>
      </c>
      <c r="D12" s="4" t="s">
        <v>8214</v>
      </c>
      <c r="E12" t="s">
        <v>8216</v>
      </c>
    </row>
    <row r="13" spans="1:5">
      <c r="B13" t="s">
        <v>8221</v>
      </c>
      <c r="C13" t="s">
        <v>8218</v>
      </c>
      <c r="D13" s="4" t="s">
        <v>8217</v>
      </c>
      <c r="E13" t="s">
        <v>8216</v>
      </c>
    </row>
    <row r="14" spans="1:5">
      <c r="B14" t="s">
        <v>8219</v>
      </c>
      <c r="C14" t="s">
        <v>8222</v>
      </c>
      <c r="D14" s="4" t="s">
        <v>8223</v>
      </c>
      <c r="E14" t="s">
        <v>8224</v>
      </c>
    </row>
    <row r="15" spans="1:5">
      <c r="B15" t="s">
        <v>8225</v>
      </c>
      <c r="C15" t="s">
        <v>8226</v>
      </c>
      <c r="D15" s="4" t="s">
        <v>8227</v>
      </c>
      <c r="E15" t="s">
        <v>8228</v>
      </c>
    </row>
    <row r="17" spans="1:5">
      <c r="A17" s="9"/>
      <c r="B17" s="9"/>
      <c r="C17" s="9"/>
      <c r="D17" s="9"/>
      <c r="E17" s="9"/>
    </row>
    <row r="18" spans="1:5" ht="29">
      <c r="A18" s="5" t="s">
        <v>8210</v>
      </c>
      <c r="B18" t="s">
        <v>8233</v>
      </c>
      <c r="D18" s="4" t="s">
        <v>8209</v>
      </c>
      <c r="E18" t="s">
        <v>8211</v>
      </c>
    </row>
    <row r="19" spans="1:5">
      <c r="A19" s="5" t="s">
        <v>8234</v>
      </c>
      <c r="B19" t="s">
        <v>8235</v>
      </c>
      <c r="C19" t="s">
        <v>8236</v>
      </c>
      <c r="D19" s="4" t="s">
        <v>8237</v>
      </c>
    </row>
    <row r="20" spans="1:5">
      <c r="A20" s="5" t="s">
        <v>8234</v>
      </c>
      <c r="B20" t="s">
        <v>8238</v>
      </c>
      <c r="C20" t="s">
        <v>8239</v>
      </c>
      <c r="D20" s="4" t="s">
        <v>8240</v>
      </c>
    </row>
    <row r="22" spans="1:5">
      <c r="A22" s="9"/>
      <c r="B22" s="9"/>
      <c r="C22" s="9"/>
      <c r="D22" s="9"/>
      <c r="E22" s="9"/>
    </row>
  </sheetData>
  <hyperlinks>
    <hyperlink ref="D4" r:id="rId1"/>
    <hyperlink ref="D5" r:id="rId2"/>
    <hyperlink ref="D6" r:id="rId3"/>
    <hyperlink ref="D18" r:id="rId4"/>
    <hyperlink ref="D9" r:id="rId5"/>
    <hyperlink ref="D19" r:id="rId6"/>
    <hyperlink ref="D20" r:id="rId7"/>
    <hyperlink ref="D12" r:id="rId8"/>
    <hyperlink ref="D13" r:id="rId9"/>
    <hyperlink ref="D14" r:id="rId10"/>
    <hyperlink ref="D15" r:id="rId11"/>
    <hyperlink ref="D2" r:id="rId12" tooltip="Email\Office\Phone" display="https://nj.gov/governor/contact/all"/>
  </hyperlinks>
  <pageMargins left="0.7" right="0.7" top="0.75" bottom="0.75" header="0.3" footer="0.3"/>
  <pageSetup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NJPubSchoolDistricts</vt:lpstr>
      <vt:lpstr>Other Important Organizations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NIk</cp:lastModifiedBy>
  <dcterms:created xsi:type="dcterms:W3CDTF">2021-05-21T12:22:04Z</dcterms:created>
  <dcterms:modified xsi:type="dcterms:W3CDTF">2021-05-29T22:51:05Z</dcterms:modified>
</cp:coreProperties>
</file>